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15195" windowHeight="13035" tabRatio="844" activeTab="30"/>
  </bookViews>
  <sheets>
    <sheet name="Touren" sheetId="1" r:id="rId1"/>
    <sheet name="Flach" sheetId="11" r:id="rId2"/>
    <sheet name="Wellig" sheetId="16" r:id="rId3"/>
    <sheet name="Hügelig" sheetId="2" r:id="rId4"/>
    <sheet name="Bergig" sheetId="18" r:id="rId5"/>
    <sheet name="Gebirgig" sheetId="29" r:id="rId6"/>
    <sheet name="Alpin" sheetId="22" r:id="rId7"/>
    <sheet name="HC" sheetId="32" r:id="rId8"/>
    <sheet name="X" sheetId="35" r:id="rId9"/>
    <sheet name="Laps" sheetId="10" r:id="rId10"/>
    <sheet name="Group" sheetId="6" r:id="rId11"/>
    <sheet name="Race" sheetId="7" r:id="rId12"/>
    <sheet name="Stetigkeit" sheetId="4" r:id="rId13"/>
    <sheet name="Steigung" sheetId="3" r:id="rId14"/>
    <sheet name="Länge" sheetId="9" r:id="rId15"/>
    <sheet name="Region" sheetId="14" r:id="rId16"/>
    <sheet name="Auswärts" sheetId="15" r:id="rId17"/>
    <sheet name="Vergleich" sheetId="21" r:id="rId18"/>
    <sheet name="Urlaub" sheetId="5" r:id="rId19"/>
    <sheet name="08" sheetId="12" r:id="rId20"/>
    <sheet name="09" sheetId="17" r:id="rId21"/>
    <sheet name="10" sheetId="19" r:id="rId22"/>
    <sheet name="11" sheetId="23" r:id="rId23"/>
    <sheet name="12" sheetId="26" r:id="rId24"/>
    <sheet name="13" sheetId="27" r:id="rId25"/>
    <sheet name="14" sheetId="28" r:id="rId26"/>
    <sheet name="15" sheetId="30" r:id="rId27"/>
    <sheet name="16" sheetId="31" r:id="rId28"/>
    <sheet name="17" sheetId="33" r:id="rId29"/>
    <sheet name="18" sheetId="34" r:id="rId30"/>
    <sheet name="stat" sheetId="13" r:id="rId31"/>
    <sheet name="tmp" sheetId="24" r:id="rId32"/>
  </sheets>
  <calcPr calcId="145621"/>
</workbook>
</file>

<file path=xl/calcChain.xml><?xml version="1.0" encoding="utf-8"?>
<calcChain xmlns="http://schemas.openxmlformats.org/spreadsheetml/2006/main">
  <c r="V32" i="13" l="1"/>
  <c r="I18" i="11" l="1"/>
  <c r="I3" i="11" l="1"/>
  <c r="M17" i="29" l="1"/>
  <c r="I11" i="11" l="1"/>
  <c r="H137" i="5" l="1"/>
  <c r="G137" i="5"/>
  <c r="F137" i="5"/>
  <c r="E137" i="5"/>
  <c r="C137" i="5"/>
  <c r="B137" i="5"/>
  <c r="D136" i="5"/>
  <c r="D135" i="5"/>
  <c r="D134" i="5"/>
  <c r="D133" i="5"/>
  <c r="D132" i="5"/>
  <c r="D137" i="5" l="1"/>
  <c r="R8" i="13"/>
  <c r="U13" i="13" l="1"/>
  <c r="U38" i="13"/>
  <c r="U39" i="13" s="1"/>
  <c r="U28" i="13"/>
  <c r="U23" i="13"/>
  <c r="U18" i="13"/>
  <c r="M23" i="29" l="1"/>
  <c r="D122" i="5" l="1"/>
  <c r="H128" i="5"/>
  <c r="G128" i="5"/>
  <c r="F128" i="5"/>
  <c r="E128" i="5"/>
  <c r="C128" i="5"/>
  <c r="B128" i="5"/>
  <c r="D127" i="5"/>
  <c r="D126" i="5"/>
  <c r="D125" i="5"/>
  <c r="D124" i="5"/>
  <c r="D123" i="5"/>
  <c r="D121" i="5"/>
  <c r="D120" i="5"/>
  <c r="D128" i="5" l="1"/>
  <c r="O43" i="34"/>
  <c r="O42" i="34"/>
  <c r="G42" i="34"/>
  <c r="F42" i="34"/>
  <c r="AV37" i="34"/>
  <c r="AU37" i="34"/>
  <c r="AT37" i="34"/>
  <c r="AR37" i="34"/>
  <c r="AQ37" i="34"/>
  <c r="AP37" i="34"/>
  <c r="AN37" i="34"/>
  <c r="AM37" i="34"/>
  <c r="AL37" i="34"/>
  <c r="AJ37" i="34"/>
  <c r="AI37" i="34"/>
  <c r="AH37" i="34"/>
  <c r="AF37" i="34"/>
  <c r="AE37" i="34"/>
  <c r="AD37" i="34"/>
  <c r="AB37" i="34"/>
  <c r="AA37" i="34"/>
  <c r="Z37" i="34"/>
  <c r="X37" i="34"/>
  <c r="W37" i="34"/>
  <c r="V37" i="34"/>
  <c r="T37" i="34"/>
  <c r="S37" i="34"/>
  <c r="R37" i="34"/>
  <c r="P37" i="34"/>
  <c r="O37" i="34"/>
  <c r="N37" i="34"/>
  <c r="L37" i="34"/>
  <c r="K37" i="34"/>
  <c r="J37" i="34"/>
  <c r="H37" i="34"/>
  <c r="G37" i="34"/>
  <c r="F37" i="34"/>
  <c r="D37" i="34"/>
  <c r="C37" i="34"/>
  <c r="B37" i="34"/>
  <c r="AV36" i="34"/>
  <c r="AU36" i="34"/>
  <c r="AT36" i="34"/>
  <c r="AR36" i="34"/>
  <c r="AQ36" i="34"/>
  <c r="AP36" i="34"/>
  <c r="AN36" i="34"/>
  <c r="AM36" i="34"/>
  <c r="AL36" i="34"/>
  <c r="AJ36" i="34"/>
  <c r="AI36" i="34"/>
  <c r="AH36" i="34"/>
  <c r="AF36" i="34"/>
  <c r="AE36" i="34"/>
  <c r="AD36" i="34"/>
  <c r="AB36" i="34"/>
  <c r="AA36" i="34"/>
  <c r="Z36" i="34"/>
  <c r="X36" i="34"/>
  <c r="W36" i="34"/>
  <c r="V36" i="34"/>
  <c r="T36" i="34"/>
  <c r="S36" i="34"/>
  <c r="R36" i="34"/>
  <c r="P36" i="34"/>
  <c r="O36" i="34"/>
  <c r="N36" i="34"/>
  <c r="L36" i="34"/>
  <c r="K36" i="34"/>
  <c r="J36" i="34"/>
  <c r="H36" i="34"/>
  <c r="G36" i="34"/>
  <c r="F36" i="34"/>
  <c r="D36" i="34"/>
  <c r="C36" i="34"/>
  <c r="B36" i="34"/>
  <c r="AV34" i="34"/>
  <c r="AU34" i="34"/>
  <c r="AT34" i="34"/>
  <c r="AR34" i="34"/>
  <c r="AQ34" i="34"/>
  <c r="AQ38" i="34" s="1"/>
  <c r="AP34" i="34"/>
  <c r="AP38" i="34" s="1"/>
  <c r="AN34" i="34"/>
  <c r="AM34" i="34"/>
  <c r="AM38" i="34" s="1"/>
  <c r="AL34" i="34"/>
  <c r="AL38" i="34" s="1"/>
  <c r="AJ34" i="34"/>
  <c r="AI34" i="34"/>
  <c r="AI38" i="34" s="1"/>
  <c r="AH34" i="34"/>
  <c r="AH38" i="34" s="1"/>
  <c r="AF34" i="34"/>
  <c r="AE34" i="34"/>
  <c r="AE38" i="34" s="1"/>
  <c r="AD34" i="34"/>
  <c r="AB34" i="34"/>
  <c r="AA34" i="34"/>
  <c r="AA38" i="34" s="1"/>
  <c r="Z34" i="34"/>
  <c r="Z38" i="34" s="1"/>
  <c r="X34" i="34"/>
  <c r="W34" i="34"/>
  <c r="V34" i="34"/>
  <c r="T34" i="34"/>
  <c r="S34" i="34"/>
  <c r="S38" i="34" s="1"/>
  <c r="R34" i="34"/>
  <c r="R38" i="34" s="1"/>
  <c r="P34" i="34"/>
  <c r="O34" i="34"/>
  <c r="O38" i="34" s="1"/>
  <c r="N34" i="34"/>
  <c r="N38" i="34" s="1"/>
  <c r="L34" i="34"/>
  <c r="K34" i="34"/>
  <c r="K38" i="34" s="1"/>
  <c r="J34" i="34"/>
  <c r="J38" i="34" s="1"/>
  <c r="H34" i="34"/>
  <c r="G34" i="34"/>
  <c r="G38" i="34" s="1"/>
  <c r="F34" i="34"/>
  <c r="F38" i="34" s="1"/>
  <c r="D34" i="34"/>
  <c r="C34" i="34"/>
  <c r="C38" i="34" s="1"/>
  <c r="B34" i="34"/>
  <c r="B38" i="34" s="1"/>
  <c r="AO5" i="34"/>
  <c r="AO6" i="34" s="1"/>
  <c r="AO7" i="34" s="1"/>
  <c r="AO8" i="34" s="1"/>
  <c r="AO9" i="34" s="1"/>
  <c r="AO10" i="34" s="1"/>
  <c r="AO11" i="34" s="1"/>
  <c r="AO12" i="34" s="1"/>
  <c r="AO13" i="34" s="1"/>
  <c r="AO14" i="34" s="1"/>
  <c r="AO15" i="34" s="1"/>
  <c r="AO16" i="34" s="1"/>
  <c r="AO17" i="34" s="1"/>
  <c r="AO18" i="34" s="1"/>
  <c r="AO19" i="34" s="1"/>
  <c r="AO20" i="34" s="1"/>
  <c r="AO21" i="34" s="1"/>
  <c r="AO22" i="34" s="1"/>
  <c r="AO23" i="34" s="1"/>
  <c r="AO24" i="34" s="1"/>
  <c r="AO25" i="34" s="1"/>
  <c r="AO26" i="34" s="1"/>
  <c r="AO27" i="34" s="1"/>
  <c r="AO28" i="34" s="1"/>
  <c r="AO29" i="34" s="1"/>
  <c r="AO30" i="34" s="1"/>
  <c r="AO31" i="34" s="1"/>
  <c r="AO32" i="34" s="1"/>
  <c r="AK5" i="34"/>
  <c r="AK6" i="34" s="1"/>
  <c r="AK7" i="34" s="1"/>
  <c r="AK8" i="34" s="1"/>
  <c r="AK9" i="34" s="1"/>
  <c r="AK10" i="34" s="1"/>
  <c r="AK11" i="34" s="1"/>
  <c r="AK12" i="34" s="1"/>
  <c r="AK13" i="34" s="1"/>
  <c r="AK14" i="34" s="1"/>
  <c r="AK15" i="34" s="1"/>
  <c r="AK16" i="34" s="1"/>
  <c r="AK17" i="34" s="1"/>
  <c r="AK18" i="34" s="1"/>
  <c r="AK19" i="34" s="1"/>
  <c r="AK20" i="34" s="1"/>
  <c r="AK21" i="34" s="1"/>
  <c r="AK22" i="34" s="1"/>
  <c r="AK23" i="34" s="1"/>
  <c r="AK24" i="34" s="1"/>
  <c r="AK25" i="34" s="1"/>
  <c r="AK26" i="34" s="1"/>
  <c r="AK27" i="34" s="1"/>
  <c r="AK28" i="34" s="1"/>
  <c r="AK29" i="34" s="1"/>
  <c r="AK30" i="34" s="1"/>
  <c r="AK31" i="34" s="1"/>
  <c r="AK32" i="34" s="1"/>
  <c r="AK33" i="34" s="1"/>
  <c r="AG5" i="34"/>
  <c r="AG6" i="34" s="1"/>
  <c r="AG7" i="34" s="1"/>
  <c r="AG8" i="34" s="1"/>
  <c r="AG9" i="34" s="1"/>
  <c r="AG10" i="34" s="1"/>
  <c r="AG11" i="34" s="1"/>
  <c r="AG12" i="34" s="1"/>
  <c r="AG13" i="34" s="1"/>
  <c r="AG14" i="34" s="1"/>
  <c r="AG15" i="34" s="1"/>
  <c r="AG16" i="34" s="1"/>
  <c r="AG17" i="34" s="1"/>
  <c r="AG18" i="34" s="1"/>
  <c r="AG19" i="34" s="1"/>
  <c r="AG20" i="34" s="1"/>
  <c r="AG21" i="34" s="1"/>
  <c r="AG22" i="34" s="1"/>
  <c r="AG23" i="34" s="1"/>
  <c r="AG24" i="34" s="1"/>
  <c r="AG25" i="34" s="1"/>
  <c r="AG26" i="34" s="1"/>
  <c r="AG27" i="34" s="1"/>
  <c r="AG28" i="34" s="1"/>
  <c r="AG29" i="34" s="1"/>
  <c r="AG30" i="34" s="1"/>
  <c r="AG31" i="34" s="1"/>
  <c r="AG32" i="34" s="1"/>
  <c r="AC5" i="34"/>
  <c r="AC6" i="34" s="1"/>
  <c r="AC7" i="34" s="1"/>
  <c r="AC8" i="34" s="1"/>
  <c r="AC9" i="34" s="1"/>
  <c r="AC10" i="34" s="1"/>
  <c r="AC11" i="34" s="1"/>
  <c r="AC12" i="34" s="1"/>
  <c r="AC13" i="34" s="1"/>
  <c r="AC14" i="34" s="1"/>
  <c r="AC15" i="34" s="1"/>
  <c r="AC16" i="34" s="1"/>
  <c r="AC17" i="34" s="1"/>
  <c r="AC18" i="34" s="1"/>
  <c r="AC19" i="34" s="1"/>
  <c r="AC20" i="34" s="1"/>
  <c r="AC21" i="34" s="1"/>
  <c r="AC22" i="34" s="1"/>
  <c r="AC23" i="34" s="1"/>
  <c r="AC24" i="34" s="1"/>
  <c r="AC25" i="34" s="1"/>
  <c r="AC26" i="34" s="1"/>
  <c r="AC27" i="34" s="1"/>
  <c r="AC28" i="34" s="1"/>
  <c r="AC29" i="34" s="1"/>
  <c r="AC30" i="34" s="1"/>
  <c r="AC31" i="34" s="1"/>
  <c r="AC32" i="34" s="1"/>
  <c r="AC33" i="34" s="1"/>
  <c r="I5" i="34"/>
  <c r="I6" i="34" s="1"/>
  <c r="I7" i="34" s="1"/>
  <c r="I8" i="34" s="1"/>
  <c r="I9" i="34" s="1"/>
  <c r="I10" i="34" s="1"/>
  <c r="I11" i="34" s="1"/>
  <c r="I12" i="34" s="1"/>
  <c r="I13" i="34" s="1"/>
  <c r="I14" i="34" s="1"/>
  <c r="I15" i="34" s="1"/>
  <c r="I16" i="34" s="1"/>
  <c r="I17" i="34" s="1"/>
  <c r="I18" i="34" s="1"/>
  <c r="I19" i="34" s="1"/>
  <c r="I20" i="34" s="1"/>
  <c r="I21" i="34" s="1"/>
  <c r="I22" i="34" s="1"/>
  <c r="I23" i="34" s="1"/>
  <c r="I24" i="34" s="1"/>
  <c r="I25" i="34" s="1"/>
  <c r="I26" i="34" s="1"/>
  <c r="I27" i="34" s="1"/>
  <c r="I28" i="34" s="1"/>
  <c r="I29" i="34" s="1"/>
  <c r="I30" i="34" s="1"/>
  <c r="I31" i="34" s="1"/>
  <c r="I32" i="34" s="1"/>
  <c r="I33" i="34" s="1"/>
  <c r="E5" i="34"/>
  <c r="E6" i="34" s="1"/>
  <c r="E7" i="34" s="1"/>
  <c r="E8" i="34" s="1"/>
  <c r="E9" i="34" s="1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E22" i="34" s="1"/>
  <c r="E23" i="34" s="1"/>
  <c r="E24" i="34" s="1"/>
  <c r="E25" i="34" s="1"/>
  <c r="E26" i="34" s="1"/>
  <c r="E27" i="34" s="1"/>
  <c r="E28" i="34" s="1"/>
  <c r="E29" i="34" s="1"/>
  <c r="E30" i="34" s="1"/>
  <c r="A5" i="34"/>
  <c r="A6" i="34" s="1"/>
  <c r="A7" i="34" s="1"/>
  <c r="A8" i="34" s="1"/>
  <c r="A9" i="34" s="1"/>
  <c r="A10" i="34" s="1"/>
  <c r="A11" i="34" s="1"/>
  <c r="A12" i="34" s="1"/>
  <c r="A13" i="34" s="1"/>
  <c r="A14" i="34" s="1"/>
  <c r="A15" i="34" s="1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26" i="34" s="1"/>
  <c r="A27" i="34" s="1"/>
  <c r="A28" i="34" s="1"/>
  <c r="A29" i="34" s="1"/>
  <c r="A30" i="34" s="1"/>
  <c r="A31" i="34" s="1"/>
  <c r="A32" i="34" s="1"/>
  <c r="A33" i="34" s="1"/>
  <c r="AS4" i="34"/>
  <c r="AS5" i="34" s="1"/>
  <c r="AS6" i="34" s="1"/>
  <c r="AS7" i="34" s="1"/>
  <c r="AS8" i="34" s="1"/>
  <c r="AS9" i="34" s="1"/>
  <c r="AS10" i="34" s="1"/>
  <c r="AS11" i="34" s="1"/>
  <c r="AS12" i="34" s="1"/>
  <c r="AS13" i="34" s="1"/>
  <c r="AS14" i="34" s="1"/>
  <c r="AS15" i="34" s="1"/>
  <c r="AS16" i="34" s="1"/>
  <c r="AS17" i="34" s="1"/>
  <c r="AS18" i="34" s="1"/>
  <c r="AS19" i="34" s="1"/>
  <c r="AS20" i="34" s="1"/>
  <c r="AS21" i="34" s="1"/>
  <c r="AS22" i="34" s="1"/>
  <c r="AS23" i="34" s="1"/>
  <c r="AS24" i="34" s="1"/>
  <c r="AS25" i="34" s="1"/>
  <c r="AS26" i="34" s="1"/>
  <c r="AS27" i="34" s="1"/>
  <c r="AS28" i="34" s="1"/>
  <c r="AS29" i="34" s="1"/>
  <c r="AS30" i="34" s="1"/>
  <c r="AS31" i="34" s="1"/>
  <c r="AS32" i="34" s="1"/>
  <c r="AS33" i="34" s="1"/>
  <c r="AO4" i="34"/>
  <c r="AK4" i="34"/>
  <c r="AG4" i="34"/>
  <c r="AC4" i="34"/>
  <c r="Y4" i="34"/>
  <c r="Y5" i="34" s="1"/>
  <c r="Y6" i="34" s="1"/>
  <c r="Y7" i="34" s="1"/>
  <c r="Y8" i="34" s="1"/>
  <c r="Y9" i="34" s="1"/>
  <c r="Y10" i="34" s="1"/>
  <c r="Y11" i="34" s="1"/>
  <c r="Y12" i="34" s="1"/>
  <c r="Y13" i="34" s="1"/>
  <c r="Y14" i="34" s="1"/>
  <c r="Y15" i="34" s="1"/>
  <c r="Y16" i="34" s="1"/>
  <c r="Y17" i="34" s="1"/>
  <c r="Y18" i="34" s="1"/>
  <c r="Y19" i="34" s="1"/>
  <c r="Y20" i="34" s="1"/>
  <c r="Y21" i="34" s="1"/>
  <c r="Y22" i="34" s="1"/>
  <c r="Y23" i="34" s="1"/>
  <c r="Y24" i="34" s="1"/>
  <c r="Y25" i="34" s="1"/>
  <c r="Y26" i="34" s="1"/>
  <c r="Y27" i="34" s="1"/>
  <c r="Y28" i="34" s="1"/>
  <c r="Y29" i="34" s="1"/>
  <c r="Y30" i="34" s="1"/>
  <c r="Y31" i="34" s="1"/>
  <c r="Y32" i="34" s="1"/>
  <c r="Y33" i="34" s="1"/>
  <c r="U4" i="34"/>
  <c r="U5" i="34" s="1"/>
  <c r="U6" i="34" s="1"/>
  <c r="U7" i="34" s="1"/>
  <c r="U8" i="34" s="1"/>
  <c r="U9" i="34" s="1"/>
  <c r="U10" i="34" s="1"/>
  <c r="U11" i="34" s="1"/>
  <c r="U12" i="34" s="1"/>
  <c r="U13" i="34" s="1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Q4" i="34"/>
  <c r="Q5" i="34" s="1"/>
  <c r="Q6" i="34" s="1"/>
  <c r="Q7" i="34" s="1"/>
  <c r="Q8" i="34" s="1"/>
  <c r="Q9" i="34" s="1"/>
  <c r="Q10" i="34" s="1"/>
  <c r="Q11" i="34" s="1"/>
  <c r="Q12" i="34" s="1"/>
  <c r="Q13" i="34" s="1"/>
  <c r="Q14" i="34" s="1"/>
  <c r="Q15" i="34" s="1"/>
  <c r="Q16" i="34" s="1"/>
  <c r="Q17" i="34" s="1"/>
  <c r="Q18" i="34" s="1"/>
  <c r="Q19" i="34" s="1"/>
  <c r="Q20" i="34" s="1"/>
  <c r="Q21" i="34" s="1"/>
  <c r="Q22" i="34" s="1"/>
  <c r="Q23" i="34" s="1"/>
  <c r="Q24" i="34" s="1"/>
  <c r="Q25" i="34" s="1"/>
  <c r="Q26" i="34" s="1"/>
  <c r="Q27" i="34" s="1"/>
  <c r="Q28" i="34" s="1"/>
  <c r="Q29" i="34" s="1"/>
  <c r="Q30" i="34" s="1"/>
  <c r="Q31" i="34" s="1"/>
  <c r="Q32" i="34" s="1"/>
  <c r="Q33" i="34" s="1"/>
  <c r="M4" i="34"/>
  <c r="M5" i="34" s="1"/>
  <c r="M6" i="34" s="1"/>
  <c r="M7" i="34" s="1"/>
  <c r="M8" i="34" s="1"/>
  <c r="M9" i="34" s="1"/>
  <c r="M10" i="34" s="1"/>
  <c r="M11" i="34" s="1"/>
  <c r="M12" i="34" s="1"/>
  <c r="M13" i="34" s="1"/>
  <c r="M14" i="34" s="1"/>
  <c r="M15" i="34" s="1"/>
  <c r="M16" i="34" s="1"/>
  <c r="M17" i="34" s="1"/>
  <c r="M18" i="34" s="1"/>
  <c r="M19" i="34" s="1"/>
  <c r="M20" i="34" s="1"/>
  <c r="M21" i="34" s="1"/>
  <c r="M22" i="34" s="1"/>
  <c r="M23" i="34" s="1"/>
  <c r="M24" i="34" s="1"/>
  <c r="M25" i="34" s="1"/>
  <c r="M26" i="34" s="1"/>
  <c r="M27" i="34" s="1"/>
  <c r="M28" i="34" s="1"/>
  <c r="M29" i="34" s="1"/>
  <c r="M30" i="34" s="1"/>
  <c r="M31" i="34" s="1"/>
  <c r="M32" i="34" s="1"/>
  <c r="I4" i="34"/>
  <c r="E4" i="34"/>
  <c r="A4" i="34"/>
  <c r="AT40" i="34" l="1"/>
  <c r="AJ40" i="34"/>
  <c r="AF38" i="34"/>
  <c r="AD38" i="34"/>
  <c r="X40" i="34"/>
  <c r="J40" i="34"/>
  <c r="AV40" i="34"/>
  <c r="AV39" i="34"/>
  <c r="AR38" i="34"/>
  <c r="AU40" i="34"/>
  <c r="AH40" i="34"/>
  <c r="AI40" i="34"/>
  <c r="AR1" i="34"/>
  <c r="T1" i="34"/>
  <c r="B42" i="34" s="1"/>
  <c r="V39" i="34"/>
  <c r="V40" i="34"/>
  <c r="W39" i="34"/>
  <c r="W40" i="34"/>
  <c r="I1" i="34"/>
  <c r="AB1" i="34"/>
  <c r="C42" i="34" s="1"/>
  <c r="AN1" i="34"/>
  <c r="AF1" i="34"/>
  <c r="D41" i="34"/>
  <c r="AJ1" i="34"/>
  <c r="L38" i="34"/>
  <c r="AM42" i="34"/>
  <c r="K40" i="34"/>
  <c r="L40" i="34"/>
  <c r="X41" i="34"/>
  <c r="AI41" i="34"/>
  <c r="AT41" i="34"/>
  <c r="Z41" i="34"/>
  <c r="AJ41" i="34"/>
  <c r="AU41" i="34"/>
  <c r="F41" i="34"/>
  <c r="P41" i="34"/>
  <c r="AA41" i="34"/>
  <c r="AL41" i="34"/>
  <c r="AV41" i="34"/>
  <c r="R41" i="34"/>
  <c r="AB41" i="34"/>
  <c r="AM41" i="34"/>
  <c r="G41" i="34"/>
  <c r="M1" i="34"/>
  <c r="H41" i="34"/>
  <c r="R1" i="34"/>
  <c r="T41" i="34"/>
  <c r="AF41" i="34"/>
  <c r="L41" i="34"/>
  <c r="AR41" i="34"/>
  <c r="X38" i="34"/>
  <c r="X39" i="34"/>
  <c r="S41" i="34"/>
  <c r="AD41" i="34"/>
  <c r="AN41" i="34"/>
  <c r="D38" i="34"/>
  <c r="AJ38" i="34"/>
  <c r="AH39" i="34"/>
  <c r="J41" i="34"/>
  <c r="AE41" i="34"/>
  <c r="AP41" i="34"/>
  <c r="P38" i="34"/>
  <c r="AV38" i="34"/>
  <c r="AI39" i="34"/>
  <c r="K41" i="34"/>
  <c r="V41" i="34"/>
  <c r="AQ41" i="34"/>
  <c r="B35" i="34"/>
  <c r="F35" i="34" s="1"/>
  <c r="J35" i="34" s="1"/>
  <c r="N35" i="34" s="1"/>
  <c r="R35" i="34" s="1"/>
  <c r="V35" i="34" s="1"/>
  <c r="Z35" i="34" s="1"/>
  <c r="AD35" i="34" s="1"/>
  <c r="AH35" i="34" s="1"/>
  <c r="AL35" i="34" s="1"/>
  <c r="AP35" i="34" s="1"/>
  <c r="AT35" i="34" s="1"/>
  <c r="AB38" i="34"/>
  <c r="J39" i="34"/>
  <c r="AJ39" i="34"/>
  <c r="B41" i="34"/>
  <c r="W41" i="34"/>
  <c r="AH41" i="34"/>
  <c r="C35" i="34"/>
  <c r="G35" i="34" s="1"/>
  <c r="K35" i="34" s="1"/>
  <c r="O35" i="34" s="1"/>
  <c r="S35" i="34" s="1"/>
  <c r="W35" i="34" s="1"/>
  <c r="AA35" i="34" s="1"/>
  <c r="AE35" i="34" s="1"/>
  <c r="AI35" i="34" s="1"/>
  <c r="AM35" i="34" s="1"/>
  <c r="AQ35" i="34" s="1"/>
  <c r="AU35" i="34" s="1"/>
  <c r="AU1" i="34" s="1"/>
  <c r="H38" i="34"/>
  <c r="AN38" i="34"/>
  <c r="K39" i="34"/>
  <c r="AT39" i="34"/>
  <c r="C41" i="34"/>
  <c r="N41" i="34"/>
  <c r="D35" i="34"/>
  <c r="H35" i="34" s="1"/>
  <c r="L35" i="34" s="1"/>
  <c r="P35" i="34" s="1"/>
  <c r="T35" i="34" s="1"/>
  <c r="X35" i="34" s="1"/>
  <c r="AB35" i="34" s="1"/>
  <c r="AF35" i="34" s="1"/>
  <c r="AJ35" i="34" s="1"/>
  <c r="AN35" i="34" s="1"/>
  <c r="AR35" i="34" s="1"/>
  <c r="AV35" i="34" s="1"/>
  <c r="T38" i="34"/>
  <c r="L39" i="34"/>
  <c r="AU39" i="34"/>
  <c r="O41" i="34"/>
  <c r="AL42" i="34"/>
  <c r="O43" i="33"/>
  <c r="O42" i="33"/>
  <c r="G43" i="34" l="1"/>
  <c r="C43" i="34"/>
  <c r="E1" i="34"/>
  <c r="B1" i="34"/>
  <c r="G21" i="10"/>
  <c r="K43" i="34" l="1"/>
  <c r="K42" i="34"/>
  <c r="AL43" i="34"/>
  <c r="F43" i="34"/>
  <c r="B43" i="34"/>
  <c r="D112" i="5"/>
  <c r="D113" i="5"/>
  <c r="D114" i="5"/>
  <c r="D111" i="5"/>
  <c r="H116" i="5"/>
  <c r="G116" i="5"/>
  <c r="F116" i="5"/>
  <c r="E116" i="5"/>
  <c r="C116" i="5"/>
  <c r="B116" i="5"/>
  <c r="D115" i="5"/>
  <c r="D110" i="5"/>
  <c r="D109" i="5"/>
  <c r="D108" i="5"/>
  <c r="D107" i="5"/>
  <c r="J43" i="34" l="1"/>
  <c r="J42" i="34"/>
  <c r="D116" i="5"/>
  <c r="M24" i="22"/>
  <c r="G8" i="10" l="1"/>
  <c r="V33" i="24" l="1"/>
  <c r="W33" i="24"/>
  <c r="I32" i="11"/>
  <c r="B5" i="24" l="1"/>
  <c r="C5" i="24"/>
  <c r="M5" i="32" l="1"/>
  <c r="M39" i="13" l="1"/>
  <c r="M40" i="13"/>
  <c r="M38" i="13"/>
  <c r="N14" i="13" l="1"/>
  <c r="N12" i="13"/>
  <c r="G42" i="33" l="1"/>
  <c r="F42" i="33"/>
  <c r="AV37" i="33"/>
  <c r="AU37" i="33"/>
  <c r="AT37" i="33"/>
  <c r="AR37" i="33"/>
  <c r="AQ37" i="33"/>
  <c r="AP37" i="33"/>
  <c r="AN37" i="33"/>
  <c r="AM37" i="33"/>
  <c r="AL37" i="33"/>
  <c r="AJ37" i="33"/>
  <c r="AI37" i="33"/>
  <c r="AH37" i="33"/>
  <c r="AF37" i="33"/>
  <c r="AE37" i="33"/>
  <c r="AD37" i="33"/>
  <c r="AB37" i="33"/>
  <c r="AA37" i="33"/>
  <c r="Z37" i="33"/>
  <c r="X37" i="33"/>
  <c r="W37" i="33"/>
  <c r="V37" i="33"/>
  <c r="T37" i="33"/>
  <c r="S37" i="33"/>
  <c r="R37" i="33"/>
  <c r="P37" i="33"/>
  <c r="O37" i="33"/>
  <c r="N37" i="33"/>
  <c r="L37" i="33"/>
  <c r="K37" i="33"/>
  <c r="J37" i="33"/>
  <c r="H37" i="33"/>
  <c r="G37" i="33"/>
  <c r="F37" i="33"/>
  <c r="D37" i="33"/>
  <c r="C37" i="33"/>
  <c r="B37" i="33"/>
  <c r="AV36" i="33"/>
  <c r="AU36" i="33"/>
  <c r="AT36" i="33"/>
  <c r="AR36" i="33"/>
  <c r="AQ36" i="33"/>
  <c r="AP36" i="33"/>
  <c r="AN36" i="33"/>
  <c r="AM36" i="33"/>
  <c r="AL36" i="33"/>
  <c r="AJ36" i="33"/>
  <c r="AI36" i="33"/>
  <c r="AH36" i="33"/>
  <c r="AF36" i="33"/>
  <c r="AE36" i="33"/>
  <c r="AD36" i="33"/>
  <c r="AB36" i="33"/>
  <c r="AA36" i="33"/>
  <c r="Z36" i="33"/>
  <c r="X36" i="33"/>
  <c r="W36" i="33"/>
  <c r="V36" i="33"/>
  <c r="T36" i="33"/>
  <c r="S36" i="33"/>
  <c r="R36" i="33"/>
  <c r="P36" i="33"/>
  <c r="O36" i="33"/>
  <c r="N36" i="33"/>
  <c r="L36" i="33"/>
  <c r="K36" i="33"/>
  <c r="J36" i="33"/>
  <c r="H36" i="33"/>
  <c r="G36" i="33"/>
  <c r="F36" i="33"/>
  <c r="D36" i="33"/>
  <c r="C36" i="33"/>
  <c r="B36" i="33"/>
  <c r="AV34" i="33"/>
  <c r="AU34" i="33"/>
  <c r="AU38" i="34" s="1"/>
  <c r="AT34" i="33"/>
  <c r="AT38" i="34" s="1"/>
  <c r="AR34" i="33"/>
  <c r="AQ34" i="33"/>
  <c r="AP34" i="33"/>
  <c r="AN34" i="33"/>
  <c r="AM34" i="33"/>
  <c r="AL34" i="33"/>
  <c r="AJ34" i="33"/>
  <c r="AI34" i="33"/>
  <c r="AH34" i="33"/>
  <c r="AF34" i="33"/>
  <c r="AE34" i="33"/>
  <c r="AD34" i="33"/>
  <c r="AB34" i="33"/>
  <c r="AA34" i="33"/>
  <c r="Z34" i="33"/>
  <c r="X34" i="33"/>
  <c r="W34" i="33"/>
  <c r="W38" i="34" s="1"/>
  <c r="V34" i="33"/>
  <c r="V38" i="34" s="1"/>
  <c r="T34" i="33"/>
  <c r="S34" i="33"/>
  <c r="R34" i="33"/>
  <c r="P34" i="33"/>
  <c r="O34" i="33"/>
  <c r="N34" i="33"/>
  <c r="L34" i="33"/>
  <c r="K34" i="33"/>
  <c r="J34" i="33"/>
  <c r="H34" i="33"/>
  <c r="G34" i="33"/>
  <c r="F34" i="33"/>
  <c r="D34" i="33"/>
  <c r="C34" i="33"/>
  <c r="B34" i="33"/>
  <c r="AS4" i="33"/>
  <c r="AS5" i="33" s="1"/>
  <c r="AS6" i="33" s="1"/>
  <c r="AS7" i="33" s="1"/>
  <c r="AS8" i="33" s="1"/>
  <c r="AS9" i="33" s="1"/>
  <c r="AS10" i="33" s="1"/>
  <c r="AS11" i="33" s="1"/>
  <c r="AS12" i="33" s="1"/>
  <c r="AS13" i="33" s="1"/>
  <c r="AS14" i="33" s="1"/>
  <c r="AS15" i="33" s="1"/>
  <c r="AS16" i="33" s="1"/>
  <c r="AS17" i="33" s="1"/>
  <c r="AS18" i="33" s="1"/>
  <c r="AS19" i="33" s="1"/>
  <c r="AS20" i="33" s="1"/>
  <c r="AS21" i="33" s="1"/>
  <c r="AS22" i="33" s="1"/>
  <c r="AS23" i="33" s="1"/>
  <c r="AS24" i="33" s="1"/>
  <c r="AS25" i="33" s="1"/>
  <c r="AS26" i="33" s="1"/>
  <c r="AS27" i="33" s="1"/>
  <c r="AS28" i="33" s="1"/>
  <c r="AS29" i="33" s="1"/>
  <c r="AS30" i="33" s="1"/>
  <c r="AS31" i="33" s="1"/>
  <c r="AS32" i="33" s="1"/>
  <c r="AS33" i="33" s="1"/>
  <c r="AO4" i="33"/>
  <c r="AO5" i="33" s="1"/>
  <c r="AO6" i="33" s="1"/>
  <c r="AO7" i="33" s="1"/>
  <c r="AO8" i="33" s="1"/>
  <c r="AO9" i="33" s="1"/>
  <c r="AO10" i="33" s="1"/>
  <c r="AO11" i="33" s="1"/>
  <c r="AO12" i="33" s="1"/>
  <c r="AO13" i="33" s="1"/>
  <c r="AO14" i="33" s="1"/>
  <c r="AO15" i="33" s="1"/>
  <c r="AO16" i="33" s="1"/>
  <c r="AO17" i="33" s="1"/>
  <c r="AO18" i="33" s="1"/>
  <c r="AO19" i="33" s="1"/>
  <c r="AO20" i="33" s="1"/>
  <c r="AO21" i="33" s="1"/>
  <c r="AO22" i="33" s="1"/>
  <c r="AO23" i="33" s="1"/>
  <c r="AO24" i="33" s="1"/>
  <c r="AO25" i="33" s="1"/>
  <c r="AO26" i="33" s="1"/>
  <c r="AO27" i="33" s="1"/>
  <c r="AO28" i="33" s="1"/>
  <c r="AO29" i="33" s="1"/>
  <c r="AO30" i="33" s="1"/>
  <c r="AO31" i="33" s="1"/>
  <c r="AO32" i="33" s="1"/>
  <c r="AK4" i="33"/>
  <c r="AK5" i="33" s="1"/>
  <c r="AK6" i="33" s="1"/>
  <c r="AK7" i="33" s="1"/>
  <c r="AK8" i="33" s="1"/>
  <c r="AK9" i="33" s="1"/>
  <c r="AK10" i="33" s="1"/>
  <c r="AK11" i="33" s="1"/>
  <c r="AK12" i="33" s="1"/>
  <c r="AK13" i="33" s="1"/>
  <c r="AK14" i="33" s="1"/>
  <c r="AK15" i="33" s="1"/>
  <c r="AK16" i="33" s="1"/>
  <c r="AK17" i="33" s="1"/>
  <c r="AK18" i="33" s="1"/>
  <c r="AK19" i="33" s="1"/>
  <c r="AK20" i="33" s="1"/>
  <c r="AK21" i="33" s="1"/>
  <c r="AK22" i="33" s="1"/>
  <c r="AK23" i="33" s="1"/>
  <c r="AK24" i="33" s="1"/>
  <c r="AK25" i="33" s="1"/>
  <c r="AK26" i="33" s="1"/>
  <c r="AK27" i="33" s="1"/>
  <c r="AK28" i="33" s="1"/>
  <c r="AK29" i="33" s="1"/>
  <c r="AK30" i="33" s="1"/>
  <c r="AK31" i="33" s="1"/>
  <c r="AK32" i="33" s="1"/>
  <c r="AK33" i="33" s="1"/>
  <c r="AG4" i="33"/>
  <c r="AG5" i="33" s="1"/>
  <c r="AG6" i="33" s="1"/>
  <c r="AG7" i="33" s="1"/>
  <c r="AG8" i="33" s="1"/>
  <c r="AG9" i="33" s="1"/>
  <c r="AG10" i="33" s="1"/>
  <c r="AG11" i="33" s="1"/>
  <c r="AG12" i="33" s="1"/>
  <c r="AG13" i="33" s="1"/>
  <c r="AG14" i="33" s="1"/>
  <c r="AG15" i="33" s="1"/>
  <c r="AG16" i="33" s="1"/>
  <c r="AG17" i="33" s="1"/>
  <c r="AG18" i="33" s="1"/>
  <c r="AG19" i="33" s="1"/>
  <c r="AG20" i="33" s="1"/>
  <c r="AG21" i="33" s="1"/>
  <c r="AG22" i="33" s="1"/>
  <c r="AG23" i="33" s="1"/>
  <c r="AG24" i="33" s="1"/>
  <c r="AG25" i="33" s="1"/>
  <c r="AG26" i="33" s="1"/>
  <c r="AG27" i="33" s="1"/>
  <c r="AG28" i="33" s="1"/>
  <c r="AG29" i="33" s="1"/>
  <c r="AG30" i="33" s="1"/>
  <c r="AG31" i="33" s="1"/>
  <c r="AG32" i="33" s="1"/>
  <c r="AC4" i="33"/>
  <c r="AC5" i="33" s="1"/>
  <c r="AC6" i="33" s="1"/>
  <c r="AC7" i="33" s="1"/>
  <c r="AC8" i="33" s="1"/>
  <c r="AC9" i="33" s="1"/>
  <c r="AC10" i="33" s="1"/>
  <c r="AC11" i="33" s="1"/>
  <c r="AC12" i="33" s="1"/>
  <c r="AC13" i="33" s="1"/>
  <c r="AC14" i="33" s="1"/>
  <c r="AC15" i="33" s="1"/>
  <c r="AC16" i="33" s="1"/>
  <c r="AC17" i="33" s="1"/>
  <c r="AC18" i="33" s="1"/>
  <c r="AC19" i="33" s="1"/>
  <c r="AC20" i="33" s="1"/>
  <c r="AC21" i="33" s="1"/>
  <c r="AC22" i="33" s="1"/>
  <c r="AC23" i="33" s="1"/>
  <c r="AC24" i="33" s="1"/>
  <c r="AC25" i="33" s="1"/>
  <c r="AC26" i="33" s="1"/>
  <c r="AC27" i="33" s="1"/>
  <c r="AC28" i="33" s="1"/>
  <c r="AC29" i="33" s="1"/>
  <c r="AC30" i="33" s="1"/>
  <c r="AC31" i="33" s="1"/>
  <c r="AC32" i="33" s="1"/>
  <c r="AC33" i="33" s="1"/>
  <c r="Y4" i="33"/>
  <c r="Y5" i="33" s="1"/>
  <c r="Y6" i="33" s="1"/>
  <c r="Y7" i="33" s="1"/>
  <c r="Y8" i="33" s="1"/>
  <c r="Y9" i="33" s="1"/>
  <c r="Y10" i="33" s="1"/>
  <c r="Y11" i="33" s="1"/>
  <c r="Y12" i="33" s="1"/>
  <c r="Y13" i="33" s="1"/>
  <c r="Y14" i="33" s="1"/>
  <c r="Y15" i="33" s="1"/>
  <c r="Y16" i="33" s="1"/>
  <c r="Y17" i="33" s="1"/>
  <c r="Y18" i="33" s="1"/>
  <c r="Y19" i="33" s="1"/>
  <c r="Y20" i="33" s="1"/>
  <c r="Y21" i="33" s="1"/>
  <c r="Y22" i="33" s="1"/>
  <c r="Y23" i="33" s="1"/>
  <c r="Y24" i="33" s="1"/>
  <c r="Y25" i="33" s="1"/>
  <c r="Y26" i="33" s="1"/>
  <c r="Y27" i="33" s="1"/>
  <c r="Y28" i="33" s="1"/>
  <c r="Y29" i="33" s="1"/>
  <c r="Y30" i="33" s="1"/>
  <c r="Y31" i="33" s="1"/>
  <c r="Y32" i="33" s="1"/>
  <c r="Y33" i="33" s="1"/>
  <c r="U4" i="33"/>
  <c r="U5" i="33" s="1"/>
  <c r="U6" i="33" s="1"/>
  <c r="U7" i="33" s="1"/>
  <c r="U8" i="33" s="1"/>
  <c r="U9" i="33" s="1"/>
  <c r="U10" i="33" s="1"/>
  <c r="U11" i="33" s="1"/>
  <c r="U12" i="33" s="1"/>
  <c r="U13" i="33" s="1"/>
  <c r="U14" i="33" s="1"/>
  <c r="U15" i="33" s="1"/>
  <c r="U16" i="33" s="1"/>
  <c r="U17" i="33" s="1"/>
  <c r="U18" i="33" s="1"/>
  <c r="U19" i="33" s="1"/>
  <c r="U20" i="33" s="1"/>
  <c r="U21" i="33" s="1"/>
  <c r="U22" i="33" s="1"/>
  <c r="U23" i="33" s="1"/>
  <c r="U24" i="33" s="1"/>
  <c r="U25" i="33" s="1"/>
  <c r="U26" i="33" s="1"/>
  <c r="U27" i="33" s="1"/>
  <c r="U28" i="33" s="1"/>
  <c r="U29" i="33" s="1"/>
  <c r="U30" i="33" s="1"/>
  <c r="U31" i="33" s="1"/>
  <c r="U32" i="33" s="1"/>
  <c r="Q4" i="33"/>
  <c r="Q5" i="33" s="1"/>
  <c r="Q6" i="33" s="1"/>
  <c r="Q7" i="33" s="1"/>
  <c r="Q8" i="33" s="1"/>
  <c r="Q9" i="33" s="1"/>
  <c r="Q10" i="33" s="1"/>
  <c r="Q11" i="33" s="1"/>
  <c r="Q12" i="33" s="1"/>
  <c r="Q13" i="33" s="1"/>
  <c r="Q14" i="33" s="1"/>
  <c r="Q15" i="33" s="1"/>
  <c r="Q16" i="33" s="1"/>
  <c r="Q17" i="33" s="1"/>
  <c r="Q18" i="33" s="1"/>
  <c r="Q19" i="33" s="1"/>
  <c r="Q20" i="33" s="1"/>
  <c r="Q21" i="33" s="1"/>
  <c r="Q22" i="33" s="1"/>
  <c r="Q23" i="33" s="1"/>
  <c r="Q24" i="33" s="1"/>
  <c r="Q25" i="33" s="1"/>
  <c r="Q26" i="33" s="1"/>
  <c r="Q27" i="33" s="1"/>
  <c r="Q28" i="33" s="1"/>
  <c r="Q29" i="33" s="1"/>
  <c r="Q30" i="33" s="1"/>
  <c r="Q31" i="33" s="1"/>
  <c r="Q32" i="33" s="1"/>
  <c r="Q33" i="33" s="1"/>
  <c r="M4" i="33"/>
  <c r="M5" i="33" s="1"/>
  <c r="M6" i="33" s="1"/>
  <c r="M7" i="33" s="1"/>
  <c r="M8" i="33" s="1"/>
  <c r="M9" i="33" s="1"/>
  <c r="M10" i="33" s="1"/>
  <c r="M11" i="33" s="1"/>
  <c r="M12" i="33" s="1"/>
  <c r="M13" i="33" s="1"/>
  <c r="M14" i="33" s="1"/>
  <c r="M15" i="33" s="1"/>
  <c r="M16" i="33" s="1"/>
  <c r="M17" i="33" s="1"/>
  <c r="M18" i="33" s="1"/>
  <c r="M19" i="33" s="1"/>
  <c r="M20" i="33" s="1"/>
  <c r="M21" i="33" s="1"/>
  <c r="M22" i="33" s="1"/>
  <c r="M23" i="33" s="1"/>
  <c r="M24" i="33" s="1"/>
  <c r="M25" i="33" s="1"/>
  <c r="M26" i="33" s="1"/>
  <c r="M27" i="33" s="1"/>
  <c r="M28" i="33" s="1"/>
  <c r="M29" i="33" s="1"/>
  <c r="M30" i="33" s="1"/>
  <c r="M31" i="33" s="1"/>
  <c r="M32" i="33" s="1"/>
  <c r="I4" i="33"/>
  <c r="I5" i="33" s="1"/>
  <c r="I6" i="33" s="1"/>
  <c r="I7" i="33" s="1"/>
  <c r="I8" i="33" s="1"/>
  <c r="I9" i="33" s="1"/>
  <c r="I10" i="33" s="1"/>
  <c r="I11" i="33" s="1"/>
  <c r="I12" i="33" s="1"/>
  <c r="I13" i="33" s="1"/>
  <c r="I14" i="33" s="1"/>
  <c r="I15" i="33" s="1"/>
  <c r="I16" i="33" s="1"/>
  <c r="I17" i="33" s="1"/>
  <c r="I18" i="33" s="1"/>
  <c r="I19" i="33" s="1"/>
  <c r="I20" i="33" s="1"/>
  <c r="I21" i="33" s="1"/>
  <c r="I22" i="33" s="1"/>
  <c r="I23" i="33" s="1"/>
  <c r="I24" i="33" s="1"/>
  <c r="I25" i="33" s="1"/>
  <c r="I26" i="33" s="1"/>
  <c r="I27" i="33" s="1"/>
  <c r="I28" i="33" s="1"/>
  <c r="I29" i="33" s="1"/>
  <c r="I30" i="33" s="1"/>
  <c r="I31" i="33" s="1"/>
  <c r="I32" i="33" s="1"/>
  <c r="I33" i="33" s="1"/>
  <c r="E4" i="33"/>
  <c r="E5" i="33" s="1"/>
  <c r="E6" i="33" s="1"/>
  <c r="E7" i="33" s="1"/>
  <c r="E8" i="33" s="1"/>
  <c r="E9" i="33" s="1"/>
  <c r="E10" i="33" s="1"/>
  <c r="E11" i="33" s="1"/>
  <c r="E12" i="33" s="1"/>
  <c r="E13" i="33" s="1"/>
  <c r="E14" i="33" s="1"/>
  <c r="E15" i="33" s="1"/>
  <c r="E16" i="33" s="1"/>
  <c r="E17" i="33" s="1"/>
  <c r="E18" i="33" s="1"/>
  <c r="E19" i="33" s="1"/>
  <c r="E20" i="33" s="1"/>
  <c r="E21" i="33" s="1"/>
  <c r="E22" i="33" s="1"/>
  <c r="E23" i="33" s="1"/>
  <c r="E24" i="33" s="1"/>
  <c r="E25" i="33" s="1"/>
  <c r="E26" i="33" s="1"/>
  <c r="E27" i="33" s="1"/>
  <c r="E28" i="33" s="1"/>
  <c r="E29" i="33" s="1"/>
  <c r="E30" i="33" s="1"/>
  <c r="A4" i="33"/>
  <c r="A5" i="33" s="1"/>
  <c r="A6" i="33" s="1"/>
  <c r="A7" i="33" s="1"/>
  <c r="A8" i="33" s="1"/>
  <c r="A9" i="33" s="1"/>
  <c r="A10" i="33" s="1"/>
  <c r="A11" i="33" s="1"/>
  <c r="A12" i="33" s="1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H38" i="33" l="1"/>
  <c r="AT40" i="33"/>
  <c r="AU39" i="33"/>
  <c r="AT39" i="33"/>
  <c r="AV40" i="33"/>
  <c r="AU40" i="33"/>
  <c r="T1" i="33"/>
  <c r="AH40" i="33"/>
  <c r="AI39" i="33"/>
  <c r="AI40" i="33"/>
  <c r="AJ39" i="33"/>
  <c r="AJ40" i="33"/>
  <c r="AB1" i="33"/>
  <c r="V40" i="33"/>
  <c r="W40" i="33"/>
  <c r="X39" i="33"/>
  <c r="X40" i="33"/>
  <c r="T38" i="33"/>
  <c r="AL42" i="33"/>
  <c r="R6" i="13" s="1"/>
  <c r="AR1" i="33"/>
  <c r="R7" i="13" s="1"/>
  <c r="I1" i="33"/>
  <c r="AN1" i="33"/>
  <c r="K40" i="33"/>
  <c r="C41" i="33"/>
  <c r="D41" i="33"/>
  <c r="J40" i="33"/>
  <c r="L40" i="33"/>
  <c r="R1" i="33"/>
  <c r="AP42" i="34" s="1"/>
  <c r="K41" i="33"/>
  <c r="V41" i="33"/>
  <c r="AF41" i="33"/>
  <c r="AQ41" i="33"/>
  <c r="L41" i="33"/>
  <c r="W41" i="33"/>
  <c r="AH41" i="33"/>
  <c r="AR41" i="33"/>
  <c r="N41" i="33"/>
  <c r="X41" i="33"/>
  <c r="AI41" i="33"/>
  <c r="AT41" i="33"/>
  <c r="O41" i="33"/>
  <c r="Z41" i="33"/>
  <c r="AJ41" i="33"/>
  <c r="AU41" i="33"/>
  <c r="AJ1" i="33"/>
  <c r="AV41" i="33"/>
  <c r="AF1" i="33"/>
  <c r="AQ42" i="34" s="1"/>
  <c r="H41" i="33"/>
  <c r="AN41" i="33"/>
  <c r="M1" i="33"/>
  <c r="T41" i="33"/>
  <c r="AF38" i="33"/>
  <c r="V39" i="33"/>
  <c r="AV39" i="33"/>
  <c r="F41" i="33"/>
  <c r="P41" i="33"/>
  <c r="AA41" i="33"/>
  <c r="AL41" i="33"/>
  <c r="AM42" i="33"/>
  <c r="S6" i="13" s="1"/>
  <c r="L38" i="33"/>
  <c r="AR38" i="33"/>
  <c r="W39" i="33"/>
  <c r="G41" i="33"/>
  <c r="R41" i="33"/>
  <c r="AB41" i="33"/>
  <c r="AM41" i="33"/>
  <c r="X38" i="33"/>
  <c r="S41" i="33"/>
  <c r="AD41" i="33"/>
  <c r="D38" i="33"/>
  <c r="AJ38" i="33"/>
  <c r="AH39" i="33"/>
  <c r="J41" i="33"/>
  <c r="AE41" i="33"/>
  <c r="AP41" i="33"/>
  <c r="P38" i="33"/>
  <c r="AV38" i="33"/>
  <c r="B35" i="33"/>
  <c r="F35" i="33" s="1"/>
  <c r="J35" i="33" s="1"/>
  <c r="N35" i="33" s="1"/>
  <c r="R35" i="33" s="1"/>
  <c r="V35" i="33" s="1"/>
  <c r="Z35" i="33" s="1"/>
  <c r="AD35" i="33" s="1"/>
  <c r="AH35" i="33" s="1"/>
  <c r="AL35" i="33" s="1"/>
  <c r="AP35" i="33" s="1"/>
  <c r="AT35" i="33" s="1"/>
  <c r="S11" i="13" s="1"/>
  <c r="AB38" i="33"/>
  <c r="J39" i="33"/>
  <c r="B41" i="33"/>
  <c r="C35" i="33"/>
  <c r="G35" i="33" s="1"/>
  <c r="K35" i="33" s="1"/>
  <c r="O35" i="33" s="1"/>
  <c r="S35" i="33" s="1"/>
  <c r="W35" i="33" s="1"/>
  <c r="AA35" i="33" s="1"/>
  <c r="AE35" i="33" s="1"/>
  <c r="AI35" i="33" s="1"/>
  <c r="AM35" i="33" s="1"/>
  <c r="AQ35" i="33" s="1"/>
  <c r="AU35" i="33" s="1"/>
  <c r="AN38" i="33"/>
  <c r="K39" i="33"/>
  <c r="D35" i="33"/>
  <c r="H35" i="33" s="1"/>
  <c r="L35" i="33" s="1"/>
  <c r="P35" i="33" s="1"/>
  <c r="T35" i="33" s="1"/>
  <c r="X35" i="33" s="1"/>
  <c r="AB35" i="33" s="1"/>
  <c r="AF35" i="33" s="1"/>
  <c r="AJ35" i="33" s="1"/>
  <c r="AN35" i="33" s="1"/>
  <c r="AR35" i="33" s="1"/>
  <c r="AV35" i="33" s="1"/>
  <c r="L39" i="33"/>
  <c r="I4" i="11"/>
  <c r="AU42" i="34" l="1"/>
  <c r="C42" i="33"/>
  <c r="S8" i="13"/>
  <c r="AU1" i="33"/>
  <c r="S13" i="13"/>
  <c r="B42" i="33"/>
  <c r="R4" i="13"/>
  <c r="AT42" i="34"/>
  <c r="AP43" i="34"/>
  <c r="S7" i="13"/>
  <c r="F33" i="13"/>
  <c r="B1" i="33"/>
  <c r="AT43" i="34" s="1"/>
  <c r="E1" i="33"/>
  <c r="M20" i="29"/>
  <c r="C43" i="33" l="1"/>
  <c r="O5" i="13"/>
  <c r="S4" i="13"/>
  <c r="N5" i="13"/>
  <c r="S5" i="13"/>
  <c r="O18" i="13" s="1"/>
  <c r="AU43" i="34"/>
  <c r="G43" i="33"/>
  <c r="K43" i="33" s="1"/>
  <c r="F43" i="33"/>
  <c r="B43" i="33"/>
  <c r="AL43" i="33"/>
  <c r="AQ43" i="34" s="1"/>
  <c r="O15" i="1"/>
  <c r="I15" i="1"/>
  <c r="K42" i="33" l="1"/>
  <c r="J43" i="33"/>
  <c r="J42" i="33"/>
  <c r="M20" i="22"/>
  <c r="O30" i="1" l="1"/>
  <c r="I30" i="1"/>
  <c r="M18" i="22" l="1"/>
  <c r="M25" i="22" l="1"/>
  <c r="M4" i="32" l="1"/>
  <c r="M8" i="32"/>
  <c r="M7" i="32"/>
  <c r="M6" i="32"/>
  <c r="M3" i="32"/>
  <c r="M2" i="32"/>
  <c r="I5" i="11" l="1"/>
  <c r="I29" i="11" l="1"/>
  <c r="G42" i="31" l="1"/>
  <c r="F42" i="31"/>
  <c r="AV37" i="31"/>
  <c r="AU37" i="31"/>
  <c r="AT37" i="31"/>
  <c r="AR37" i="31"/>
  <c r="AQ37" i="31"/>
  <c r="AP37" i="31"/>
  <c r="AN37" i="31"/>
  <c r="AM37" i="31"/>
  <c r="AL37" i="31"/>
  <c r="AJ37" i="31"/>
  <c r="AI37" i="31"/>
  <c r="AH37" i="31"/>
  <c r="AF37" i="31"/>
  <c r="AE37" i="31"/>
  <c r="AD37" i="31"/>
  <c r="AB37" i="31"/>
  <c r="AA37" i="31"/>
  <c r="Z37" i="31"/>
  <c r="X37" i="31"/>
  <c r="W37" i="31"/>
  <c r="V37" i="31"/>
  <c r="T37" i="31"/>
  <c r="S37" i="31"/>
  <c r="R37" i="31"/>
  <c r="P37" i="31"/>
  <c r="O37" i="31"/>
  <c r="N37" i="31"/>
  <c r="L37" i="31"/>
  <c r="K37" i="31"/>
  <c r="J37" i="31"/>
  <c r="H37" i="31"/>
  <c r="G37" i="31"/>
  <c r="F37" i="31"/>
  <c r="D37" i="31"/>
  <c r="C37" i="31"/>
  <c r="B37" i="31"/>
  <c r="AV36" i="31"/>
  <c r="AU36" i="31"/>
  <c r="AT36" i="31"/>
  <c r="AR36" i="31"/>
  <c r="AQ36" i="31"/>
  <c r="AP36" i="31"/>
  <c r="AN36" i="31"/>
  <c r="AM36" i="31"/>
  <c r="AL36" i="31"/>
  <c r="AJ36" i="31"/>
  <c r="AI36" i="31"/>
  <c r="AH36" i="31"/>
  <c r="AF36" i="31"/>
  <c r="AE36" i="31"/>
  <c r="AD36" i="31"/>
  <c r="AB36" i="31"/>
  <c r="AA36" i="31"/>
  <c r="Z36" i="31"/>
  <c r="X36" i="31"/>
  <c r="W36" i="31"/>
  <c r="V36" i="31"/>
  <c r="T36" i="31"/>
  <c r="S36" i="31"/>
  <c r="R36" i="31"/>
  <c r="P36" i="31"/>
  <c r="O36" i="31"/>
  <c r="N36" i="31"/>
  <c r="L36" i="31"/>
  <c r="K36" i="31"/>
  <c r="J36" i="31"/>
  <c r="H36" i="31"/>
  <c r="G36" i="31"/>
  <c r="F36" i="31"/>
  <c r="D36" i="31"/>
  <c r="C36" i="31"/>
  <c r="B36" i="31"/>
  <c r="AV34" i="31"/>
  <c r="AU34" i="31"/>
  <c r="AU38" i="33" s="1"/>
  <c r="AT34" i="31"/>
  <c r="AT38" i="33" s="1"/>
  <c r="AR34" i="31"/>
  <c r="AQ34" i="31"/>
  <c r="AP34" i="31"/>
  <c r="AN34" i="31"/>
  <c r="AM34" i="31"/>
  <c r="AL34" i="31"/>
  <c r="AL38" i="33" s="1"/>
  <c r="AJ34" i="31"/>
  <c r="AI34" i="31"/>
  <c r="AH34" i="31"/>
  <c r="AF34" i="31"/>
  <c r="AE34" i="31"/>
  <c r="AD34" i="31"/>
  <c r="AB34" i="31"/>
  <c r="AA34" i="31"/>
  <c r="Z34" i="31"/>
  <c r="X34" i="31"/>
  <c r="W34" i="31"/>
  <c r="V34" i="31"/>
  <c r="T34" i="31"/>
  <c r="S34" i="31"/>
  <c r="R34" i="31"/>
  <c r="R38" i="33" s="1"/>
  <c r="P34" i="31"/>
  <c r="O34" i="31"/>
  <c r="N34" i="31"/>
  <c r="L34" i="31"/>
  <c r="K34" i="31"/>
  <c r="K38" i="33" s="1"/>
  <c r="J34" i="31"/>
  <c r="H34" i="31"/>
  <c r="G34" i="31"/>
  <c r="F34" i="31"/>
  <c r="F38" i="33" s="1"/>
  <c r="D34" i="31"/>
  <c r="C34" i="31"/>
  <c r="B34" i="31"/>
  <c r="AS4" i="31"/>
  <c r="AS5" i="31" s="1"/>
  <c r="AS6" i="31" s="1"/>
  <c r="AS7" i="31" s="1"/>
  <c r="AS8" i="31" s="1"/>
  <c r="AS9" i="31" s="1"/>
  <c r="AS10" i="31" s="1"/>
  <c r="AS11" i="31" s="1"/>
  <c r="AS12" i="31" s="1"/>
  <c r="AS13" i="31" s="1"/>
  <c r="AS14" i="31" s="1"/>
  <c r="AS15" i="31" s="1"/>
  <c r="AS16" i="31" s="1"/>
  <c r="AS17" i="31" s="1"/>
  <c r="AS18" i="31" s="1"/>
  <c r="AS19" i="31" s="1"/>
  <c r="AS20" i="31" s="1"/>
  <c r="AS21" i="31" s="1"/>
  <c r="AS22" i="31" s="1"/>
  <c r="AS23" i="31" s="1"/>
  <c r="AS24" i="31" s="1"/>
  <c r="AS25" i="31" s="1"/>
  <c r="AS26" i="31" s="1"/>
  <c r="AS27" i="31" s="1"/>
  <c r="AS28" i="31" s="1"/>
  <c r="AS29" i="31" s="1"/>
  <c r="AS30" i="31" s="1"/>
  <c r="AS31" i="31" s="1"/>
  <c r="AS32" i="31" s="1"/>
  <c r="AS33" i="31" s="1"/>
  <c r="AO4" i="31"/>
  <c r="AO5" i="31" s="1"/>
  <c r="AO6" i="31" s="1"/>
  <c r="AO7" i="31" s="1"/>
  <c r="AO8" i="31" s="1"/>
  <c r="AO9" i="31" s="1"/>
  <c r="AO10" i="31" s="1"/>
  <c r="AO11" i="31" s="1"/>
  <c r="AO12" i="31" s="1"/>
  <c r="AO13" i="31" s="1"/>
  <c r="AO14" i="31" s="1"/>
  <c r="AO15" i="31" s="1"/>
  <c r="AO16" i="31" s="1"/>
  <c r="AO17" i="31" s="1"/>
  <c r="AO18" i="31" s="1"/>
  <c r="AO19" i="31" s="1"/>
  <c r="AO20" i="31" s="1"/>
  <c r="AO21" i="31" s="1"/>
  <c r="AO22" i="31" s="1"/>
  <c r="AO23" i="31" s="1"/>
  <c r="AO24" i="31" s="1"/>
  <c r="AO25" i="31" s="1"/>
  <c r="AO26" i="31" s="1"/>
  <c r="AO27" i="31" s="1"/>
  <c r="AO28" i="31" s="1"/>
  <c r="AO29" i="31" s="1"/>
  <c r="AO30" i="31" s="1"/>
  <c r="AO31" i="31" s="1"/>
  <c r="AO32" i="31" s="1"/>
  <c r="AK4" i="31"/>
  <c r="AK5" i="31" s="1"/>
  <c r="AK6" i="31" s="1"/>
  <c r="AK7" i="31" s="1"/>
  <c r="AK8" i="31" s="1"/>
  <c r="AK9" i="31" s="1"/>
  <c r="AK10" i="31" s="1"/>
  <c r="AK11" i="31" s="1"/>
  <c r="AK12" i="31" s="1"/>
  <c r="AK13" i="31" s="1"/>
  <c r="AK14" i="31" s="1"/>
  <c r="AK15" i="31" s="1"/>
  <c r="AK16" i="31" s="1"/>
  <c r="AK17" i="31" s="1"/>
  <c r="AK18" i="31" s="1"/>
  <c r="AK19" i="31" s="1"/>
  <c r="AK20" i="31" s="1"/>
  <c r="AK21" i="31" s="1"/>
  <c r="AK22" i="31" s="1"/>
  <c r="AK23" i="31" s="1"/>
  <c r="AK24" i="31" s="1"/>
  <c r="AK25" i="31" s="1"/>
  <c r="AK26" i="31" s="1"/>
  <c r="AK27" i="31" s="1"/>
  <c r="AK28" i="31" s="1"/>
  <c r="AK29" i="31" s="1"/>
  <c r="AK30" i="31" s="1"/>
  <c r="AK31" i="31" s="1"/>
  <c r="AK32" i="31" s="1"/>
  <c r="AK33" i="31" s="1"/>
  <c r="AG4" i="31"/>
  <c r="AG5" i="31" s="1"/>
  <c r="AG6" i="31" s="1"/>
  <c r="AG7" i="31" s="1"/>
  <c r="AG8" i="31" s="1"/>
  <c r="AG9" i="31" s="1"/>
  <c r="AG10" i="31" s="1"/>
  <c r="AG11" i="31" s="1"/>
  <c r="AG12" i="31" s="1"/>
  <c r="AG13" i="31" s="1"/>
  <c r="AG14" i="31" s="1"/>
  <c r="AG15" i="31" s="1"/>
  <c r="AG16" i="31" s="1"/>
  <c r="AG17" i="31" s="1"/>
  <c r="AG18" i="31" s="1"/>
  <c r="AG19" i="31" s="1"/>
  <c r="AG20" i="31" s="1"/>
  <c r="AG21" i="31" s="1"/>
  <c r="AG22" i="31" s="1"/>
  <c r="AG23" i="31" s="1"/>
  <c r="AG24" i="31" s="1"/>
  <c r="AG25" i="31" s="1"/>
  <c r="AG26" i="31" s="1"/>
  <c r="AG27" i="31" s="1"/>
  <c r="AG28" i="31" s="1"/>
  <c r="AG29" i="31" s="1"/>
  <c r="AG30" i="31" s="1"/>
  <c r="AG31" i="31" s="1"/>
  <c r="AG32" i="31" s="1"/>
  <c r="AC4" i="31"/>
  <c r="AC5" i="31" s="1"/>
  <c r="AC6" i="31" s="1"/>
  <c r="AC7" i="31" s="1"/>
  <c r="AC8" i="31" s="1"/>
  <c r="AC9" i="31" s="1"/>
  <c r="AC10" i="31" s="1"/>
  <c r="AC11" i="31" s="1"/>
  <c r="AC12" i="31" s="1"/>
  <c r="AC13" i="31" s="1"/>
  <c r="AC14" i="31" s="1"/>
  <c r="AC15" i="31" s="1"/>
  <c r="AC16" i="31" s="1"/>
  <c r="AC17" i="31" s="1"/>
  <c r="AC18" i="31" s="1"/>
  <c r="AC19" i="31" s="1"/>
  <c r="AC20" i="31" s="1"/>
  <c r="AC21" i="31" s="1"/>
  <c r="AC22" i="31" s="1"/>
  <c r="AC23" i="31" s="1"/>
  <c r="AC24" i="31" s="1"/>
  <c r="AC25" i="31" s="1"/>
  <c r="AC26" i="31" s="1"/>
  <c r="AC27" i="31" s="1"/>
  <c r="AC28" i="31" s="1"/>
  <c r="AC29" i="31" s="1"/>
  <c r="AC30" i="31" s="1"/>
  <c r="AC31" i="31" s="1"/>
  <c r="AC32" i="31" s="1"/>
  <c r="AC33" i="31" s="1"/>
  <c r="Y4" i="31"/>
  <c r="Y5" i="31" s="1"/>
  <c r="Y6" i="31" s="1"/>
  <c r="Y7" i="31" s="1"/>
  <c r="Y8" i="31" s="1"/>
  <c r="Y9" i="31" s="1"/>
  <c r="Y10" i="31" s="1"/>
  <c r="Y11" i="31" s="1"/>
  <c r="Y12" i="31" s="1"/>
  <c r="Y13" i="31" s="1"/>
  <c r="Y14" i="31" s="1"/>
  <c r="Y15" i="31" s="1"/>
  <c r="Y16" i="31" s="1"/>
  <c r="Y17" i="31" s="1"/>
  <c r="Y18" i="31" s="1"/>
  <c r="Y19" i="31" s="1"/>
  <c r="Y20" i="31" s="1"/>
  <c r="Y21" i="31" s="1"/>
  <c r="Y22" i="31" s="1"/>
  <c r="Y23" i="31" s="1"/>
  <c r="Y24" i="31" s="1"/>
  <c r="Y25" i="31" s="1"/>
  <c r="Y26" i="31" s="1"/>
  <c r="Y27" i="31" s="1"/>
  <c r="Y28" i="31" s="1"/>
  <c r="Y29" i="31" s="1"/>
  <c r="Y30" i="31" s="1"/>
  <c r="Y31" i="31" s="1"/>
  <c r="Y32" i="31" s="1"/>
  <c r="Y33" i="31" s="1"/>
  <c r="U4" i="31"/>
  <c r="U5" i="31" s="1"/>
  <c r="U6" i="31" s="1"/>
  <c r="U7" i="31" s="1"/>
  <c r="U8" i="31" s="1"/>
  <c r="U9" i="31" s="1"/>
  <c r="U10" i="31" s="1"/>
  <c r="U11" i="31" s="1"/>
  <c r="U12" i="31" s="1"/>
  <c r="U13" i="31" s="1"/>
  <c r="U14" i="31" s="1"/>
  <c r="U15" i="31" s="1"/>
  <c r="U16" i="31" s="1"/>
  <c r="U17" i="31" s="1"/>
  <c r="U18" i="31" s="1"/>
  <c r="U19" i="31" s="1"/>
  <c r="U20" i="31" s="1"/>
  <c r="U21" i="31" s="1"/>
  <c r="U22" i="31" s="1"/>
  <c r="U23" i="31" s="1"/>
  <c r="U24" i="31" s="1"/>
  <c r="U25" i="31" s="1"/>
  <c r="U26" i="31" s="1"/>
  <c r="U27" i="31" s="1"/>
  <c r="U28" i="31" s="1"/>
  <c r="U29" i="31" s="1"/>
  <c r="U30" i="31" s="1"/>
  <c r="U31" i="31" s="1"/>
  <c r="U32" i="31" s="1"/>
  <c r="Q4" i="31"/>
  <c r="Q5" i="31" s="1"/>
  <c r="Q6" i="31" s="1"/>
  <c r="Q7" i="31" s="1"/>
  <c r="Q8" i="31" s="1"/>
  <c r="Q9" i="31" s="1"/>
  <c r="Q10" i="31" s="1"/>
  <c r="Q11" i="31" s="1"/>
  <c r="Q12" i="31" s="1"/>
  <c r="Q13" i="31" s="1"/>
  <c r="Q14" i="31" s="1"/>
  <c r="Q15" i="31" s="1"/>
  <c r="Q16" i="31" s="1"/>
  <c r="Q17" i="31" s="1"/>
  <c r="Q18" i="31" s="1"/>
  <c r="Q19" i="31" s="1"/>
  <c r="Q20" i="31" s="1"/>
  <c r="Q21" i="31" s="1"/>
  <c r="Q22" i="31" s="1"/>
  <c r="Q23" i="31" s="1"/>
  <c r="Q24" i="31" s="1"/>
  <c r="Q25" i="31" s="1"/>
  <c r="Q26" i="31" s="1"/>
  <c r="Q27" i="31" s="1"/>
  <c r="Q28" i="31" s="1"/>
  <c r="Q29" i="31" s="1"/>
  <c r="Q30" i="31" s="1"/>
  <c r="Q31" i="31" s="1"/>
  <c r="Q32" i="31" s="1"/>
  <c r="Q33" i="31" s="1"/>
  <c r="M4" i="31"/>
  <c r="M5" i="31" s="1"/>
  <c r="M6" i="31" s="1"/>
  <c r="M7" i="31" s="1"/>
  <c r="M8" i="31" s="1"/>
  <c r="M9" i="31" s="1"/>
  <c r="M10" i="31" s="1"/>
  <c r="M11" i="31" s="1"/>
  <c r="M12" i="31" s="1"/>
  <c r="M13" i="31" s="1"/>
  <c r="M14" i="31" s="1"/>
  <c r="M15" i="31" s="1"/>
  <c r="M16" i="31" s="1"/>
  <c r="M17" i="31" s="1"/>
  <c r="M18" i="31" s="1"/>
  <c r="M19" i="31" s="1"/>
  <c r="M20" i="31" s="1"/>
  <c r="M21" i="31" s="1"/>
  <c r="M22" i="31" s="1"/>
  <c r="M23" i="31" s="1"/>
  <c r="M24" i="31" s="1"/>
  <c r="M25" i="31" s="1"/>
  <c r="M26" i="31" s="1"/>
  <c r="M27" i="31" s="1"/>
  <c r="M28" i="31" s="1"/>
  <c r="M29" i="31" s="1"/>
  <c r="M30" i="31" s="1"/>
  <c r="M31" i="31" s="1"/>
  <c r="M32" i="31" s="1"/>
  <c r="I4" i="31"/>
  <c r="I5" i="31" s="1"/>
  <c r="I6" i="31" s="1"/>
  <c r="I7" i="31" s="1"/>
  <c r="I8" i="31" s="1"/>
  <c r="I9" i="31" s="1"/>
  <c r="I10" i="31" s="1"/>
  <c r="I11" i="31" s="1"/>
  <c r="I12" i="31" s="1"/>
  <c r="I13" i="31" s="1"/>
  <c r="I14" i="31" s="1"/>
  <c r="I15" i="31" s="1"/>
  <c r="I16" i="31" s="1"/>
  <c r="I17" i="31" s="1"/>
  <c r="I18" i="31" s="1"/>
  <c r="I19" i="31" s="1"/>
  <c r="I20" i="31" s="1"/>
  <c r="I21" i="31" s="1"/>
  <c r="I22" i="31" s="1"/>
  <c r="I23" i="31" s="1"/>
  <c r="I24" i="31" s="1"/>
  <c r="I25" i="31" s="1"/>
  <c r="I26" i="31" s="1"/>
  <c r="I27" i="31" s="1"/>
  <c r="I28" i="31" s="1"/>
  <c r="I29" i="31" s="1"/>
  <c r="I30" i="31" s="1"/>
  <c r="I31" i="31" s="1"/>
  <c r="I32" i="31" s="1"/>
  <c r="I33" i="31" s="1"/>
  <c r="E4" i="31"/>
  <c r="E5" i="31" s="1"/>
  <c r="E6" i="31" s="1"/>
  <c r="E7" i="31" s="1"/>
  <c r="E8" i="31" s="1"/>
  <c r="E9" i="31" s="1"/>
  <c r="E10" i="31" s="1"/>
  <c r="E11" i="31" s="1"/>
  <c r="E12" i="31" s="1"/>
  <c r="E13" i="31" s="1"/>
  <c r="E14" i="31" s="1"/>
  <c r="E15" i="31" s="1"/>
  <c r="E16" i="31" s="1"/>
  <c r="E17" i="31" s="1"/>
  <c r="E18" i="31" s="1"/>
  <c r="E19" i="31" s="1"/>
  <c r="E20" i="31" s="1"/>
  <c r="E21" i="31" s="1"/>
  <c r="E22" i="31" s="1"/>
  <c r="E23" i="31" s="1"/>
  <c r="E24" i="31" s="1"/>
  <c r="E25" i="31" s="1"/>
  <c r="E26" i="31" s="1"/>
  <c r="E27" i="31" s="1"/>
  <c r="E28" i="31" s="1"/>
  <c r="E29" i="31" s="1"/>
  <c r="E30" i="31" s="1"/>
  <c r="A4" i="31"/>
  <c r="A5" i="31" s="1"/>
  <c r="A6" i="31" s="1"/>
  <c r="A7" i="31" s="1"/>
  <c r="A8" i="31" s="1"/>
  <c r="A9" i="31" s="1"/>
  <c r="A10" i="31" s="1"/>
  <c r="A11" i="31" s="1"/>
  <c r="A12" i="31" s="1"/>
  <c r="A13" i="31" s="1"/>
  <c r="A14" i="31" s="1"/>
  <c r="A15" i="31" s="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26" i="31" s="1"/>
  <c r="A27" i="31" s="1"/>
  <c r="A28" i="31" s="1"/>
  <c r="A29" i="31" s="1"/>
  <c r="A30" i="31" s="1"/>
  <c r="A31" i="31" s="1"/>
  <c r="A32" i="31" s="1"/>
  <c r="A33" i="31" s="1"/>
  <c r="J38" i="33" l="1"/>
  <c r="AE38" i="33"/>
  <c r="AP38" i="33"/>
  <c r="V38" i="33"/>
  <c r="AQ38" i="33"/>
  <c r="B38" i="33"/>
  <c r="W38" i="33"/>
  <c r="AH38" i="33"/>
  <c r="C38" i="33"/>
  <c r="N38" i="33"/>
  <c r="AI38" i="33"/>
  <c r="O38" i="33"/>
  <c r="Z38" i="33"/>
  <c r="AA38" i="33"/>
  <c r="G38" i="33"/>
  <c r="AM38" i="33"/>
  <c r="S38" i="33"/>
  <c r="AD38" i="33"/>
  <c r="AV40" i="31"/>
  <c r="AU40" i="31"/>
  <c r="AT40" i="31"/>
  <c r="AN1" i="31"/>
  <c r="K41" i="31"/>
  <c r="AT39" i="31"/>
  <c r="T38" i="31"/>
  <c r="H38" i="31"/>
  <c r="AU39" i="31"/>
  <c r="I1" i="31"/>
  <c r="AH40" i="31"/>
  <c r="AI39" i="31"/>
  <c r="AI40" i="31"/>
  <c r="AJ39" i="31"/>
  <c r="AJ40" i="31"/>
  <c r="W40" i="31"/>
  <c r="V40" i="31"/>
  <c r="X40" i="31"/>
  <c r="X39" i="31"/>
  <c r="M1" i="31"/>
  <c r="L41" i="31"/>
  <c r="AF41" i="31"/>
  <c r="AQ41" i="31"/>
  <c r="AR41" i="31"/>
  <c r="J40" i="31"/>
  <c r="AL42" i="31"/>
  <c r="C41" i="31"/>
  <c r="X41" i="31"/>
  <c r="L40" i="31"/>
  <c r="W41" i="31"/>
  <c r="V41" i="31"/>
  <c r="D41" i="31"/>
  <c r="T41" i="31"/>
  <c r="K40" i="31"/>
  <c r="AR1" i="31"/>
  <c r="AH41" i="31"/>
  <c r="R1" i="31"/>
  <c r="AP42" i="33" s="1"/>
  <c r="N41" i="31"/>
  <c r="AI41" i="31"/>
  <c r="AT41" i="31"/>
  <c r="T1" i="31"/>
  <c r="O41" i="31"/>
  <c r="Z41" i="31"/>
  <c r="AJ41" i="31"/>
  <c r="AU41" i="31"/>
  <c r="AB1" i="31"/>
  <c r="AV41" i="31"/>
  <c r="AF1" i="31"/>
  <c r="AQ42" i="33" s="1"/>
  <c r="AJ1" i="31"/>
  <c r="H41" i="31"/>
  <c r="AN41" i="31"/>
  <c r="AF38" i="31"/>
  <c r="V39" i="31"/>
  <c r="AV39" i="31"/>
  <c r="F41" i="31"/>
  <c r="P41" i="31"/>
  <c r="AA41" i="31"/>
  <c r="AL41" i="31"/>
  <c r="AM42" i="31"/>
  <c r="L38" i="31"/>
  <c r="AR38" i="31"/>
  <c r="W39" i="31"/>
  <c r="G41" i="31"/>
  <c r="R41" i="31"/>
  <c r="AB41" i="31"/>
  <c r="AM41" i="31"/>
  <c r="X38" i="31"/>
  <c r="S41" i="31"/>
  <c r="AD41" i="31"/>
  <c r="D38" i="31"/>
  <c r="AJ38" i="31"/>
  <c r="AH39" i="31"/>
  <c r="J41" i="31"/>
  <c r="AE41" i="31"/>
  <c r="AP41" i="31"/>
  <c r="P38" i="31"/>
  <c r="AV38" i="31"/>
  <c r="B35" i="31"/>
  <c r="F35" i="31" s="1"/>
  <c r="J35" i="31" s="1"/>
  <c r="N35" i="31" s="1"/>
  <c r="R35" i="31" s="1"/>
  <c r="V35" i="31" s="1"/>
  <c r="Z35" i="31" s="1"/>
  <c r="AD35" i="31" s="1"/>
  <c r="AH35" i="31" s="1"/>
  <c r="AL35" i="31" s="1"/>
  <c r="AP35" i="31" s="1"/>
  <c r="AT35" i="31" s="1"/>
  <c r="AB38" i="31"/>
  <c r="J39" i="31"/>
  <c r="B41" i="31"/>
  <c r="C35" i="31"/>
  <c r="G35" i="31" s="1"/>
  <c r="K35" i="31" s="1"/>
  <c r="O35" i="31" s="1"/>
  <c r="S35" i="31" s="1"/>
  <c r="W35" i="31" s="1"/>
  <c r="AA35" i="31" s="1"/>
  <c r="AE35" i="31" s="1"/>
  <c r="AI35" i="31" s="1"/>
  <c r="AM35" i="31" s="1"/>
  <c r="AQ35" i="31" s="1"/>
  <c r="AU35" i="31" s="1"/>
  <c r="AN38" i="31"/>
  <c r="K39" i="31"/>
  <c r="D35" i="31"/>
  <c r="H35" i="31" s="1"/>
  <c r="L35" i="31" s="1"/>
  <c r="P35" i="31" s="1"/>
  <c r="T35" i="31" s="1"/>
  <c r="X35" i="31" s="1"/>
  <c r="AB35" i="31" s="1"/>
  <c r="AF35" i="31" s="1"/>
  <c r="AJ35" i="31" s="1"/>
  <c r="AN35" i="31" s="1"/>
  <c r="AR35" i="31" s="1"/>
  <c r="AV35" i="31" s="1"/>
  <c r="L39" i="31"/>
  <c r="M21" i="29"/>
  <c r="AP43" i="33" l="1"/>
  <c r="AT42" i="33"/>
  <c r="B42" i="31"/>
  <c r="AU42" i="33"/>
  <c r="C42" i="31"/>
  <c r="AU1" i="31"/>
  <c r="E1" i="31"/>
  <c r="B1" i="31"/>
  <c r="AT43" i="33" s="1"/>
  <c r="M10" i="22"/>
  <c r="C43" i="31" l="1"/>
  <c r="AU43" i="33"/>
  <c r="G43" i="31"/>
  <c r="K43" i="31" s="1"/>
  <c r="AL43" i="31"/>
  <c r="AQ43" i="33" s="1"/>
  <c r="F43" i="31"/>
  <c r="B43" i="31"/>
  <c r="M9" i="29"/>
  <c r="K42" i="31" l="1"/>
  <c r="J43" i="31"/>
  <c r="J42" i="31"/>
  <c r="I2" i="11"/>
  <c r="M6" i="29" l="1"/>
  <c r="G25" i="13" l="1"/>
  <c r="G26" i="13"/>
  <c r="G27" i="13"/>
  <c r="G24" i="13"/>
  <c r="C3" i="21" l="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" i="21"/>
  <c r="I6" i="11" l="1"/>
  <c r="I12" i="11" l="1"/>
  <c r="I26" i="11" l="1"/>
  <c r="O14" i="1" l="1"/>
  <c r="I14" i="1"/>
  <c r="M2" i="29" l="1"/>
  <c r="M22" i="29" l="1"/>
  <c r="D100" i="5" l="1"/>
  <c r="D102" i="5"/>
  <c r="H103" i="5"/>
  <c r="G103" i="5"/>
  <c r="F103" i="5"/>
  <c r="E103" i="5"/>
  <c r="C103" i="5"/>
  <c r="B103" i="5"/>
  <c r="D101" i="5"/>
  <c r="D99" i="5"/>
  <c r="D98" i="5"/>
  <c r="D97" i="5"/>
  <c r="D103" i="5" l="1"/>
  <c r="O14" i="13"/>
  <c r="O12" i="13"/>
  <c r="G42" i="30" l="1"/>
  <c r="F42" i="30"/>
  <c r="AV37" i="30"/>
  <c r="AU37" i="30"/>
  <c r="AT37" i="30"/>
  <c r="AR37" i="30"/>
  <c r="AQ37" i="30"/>
  <c r="AP37" i="30"/>
  <c r="AN37" i="30"/>
  <c r="AM37" i="30"/>
  <c r="AL37" i="30"/>
  <c r="AJ37" i="30"/>
  <c r="AI37" i="30"/>
  <c r="AH37" i="30"/>
  <c r="AF37" i="30"/>
  <c r="AE37" i="30"/>
  <c r="AD37" i="30"/>
  <c r="AB37" i="30"/>
  <c r="AA37" i="30"/>
  <c r="Z37" i="30"/>
  <c r="X37" i="30"/>
  <c r="W37" i="30"/>
  <c r="V37" i="30"/>
  <c r="T37" i="30"/>
  <c r="S37" i="30"/>
  <c r="R37" i="30"/>
  <c r="P37" i="30"/>
  <c r="O37" i="30"/>
  <c r="N37" i="30"/>
  <c r="L37" i="30"/>
  <c r="K37" i="30"/>
  <c r="J37" i="30"/>
  <c r="H37" i="30"/>
  <c r="G37" i="30"/>
  <c r="F37" i="30"/>
  <c r="D37" i="30"/>
  <c r="C37" i="30"/>
  <c r="B37" i="30"/>
  <c r="AV36" i="30"/>
  <c r="AU36" i="30"/>
  <c r="AT36" i="30"/>
  <c r="AR36" i="30"/>
  <c r="AQ36" i="30"/>
  <c r="AP36" i="30"/>
  <c r="AN36" i="30"/>
  <c r="AM36" i="30"/>
  <c r="AL36" i="30"/>
  <c r="AJ36" i="30"/>
  <c r="AI36" i="30"/>
  <c r="AH36" i="30"/>
  <c r="AF36" i="30"/>
  <c r="AE36" i="30"/>
  <c r="AD36" i="30"/>
  <c r="AB36" i="30"/>
  <c r="AA36" i="30"/>
  <c r="Z36" i="30"/>
  <c r="X36" i="30"/>
  <c r="W36" i="30"/>
  <c r="V36" i="30"/>
  <c r="T36" i="30"/>
  <c r="S36" i="30"/>
  <c r="R36" i="30"/>
  <c r="P36" i="30"/>
  <c r="O36" i="30"/>
  <c r="N36" i="30"/>
  <c r="L36" i="30"/>
  <c r="K36" i="30"/>
  <c r="J36" i="30"/>
  <c r="H36" i="30"/>
  <c r="G36" i="30"/>
  <c r="F36" i="30"/>
  <c r="D36" i="30"/>
  <c r="C36" i="30"/>
  <c r="B36" i="30"/>
  <c r="AV34" i="30"/>
  <c r="AU34" i="30"/>
  <c r="AU38" i="31" s="1"/>
  <c r="AT34" i="30"/>
  <c r="AT38" i="31" s="1"/>
  <c r="AR34" i="30"/>
  <c r="AQ34" i="30"/>
  <c r="AP34" i="30"/>
  <c r="AN34" i="30"/>
  <c r="AM34" i="30"/>
  <c r="AL34" i="30"/>
  <c r="AJ34" i="30"/>
  <c r="AI34" i="30"/>
  <c r="AH34" i="30"/>
  <c r="AF34" i="30"/>
  <c r="AE34" i="30"/>
  <c r="AD34" i="30"/>
  <c r="AB34" i="30"/>
  <c r="AA34" i="30"/>
  <c r="Z34" i="30"/>
  <c r="X34" i="30"/>
  <c r="W34" i="30"/>
  <c r="V34" i="30"/>
  <c r="T34" i="30"/>
  <c r="S34" i="30"/>
  <c r="R34" i="30"/>
  <c r="P34" i="30"/>
  <c r="O34" i="30"/>
  <c r="N34" i="30"/>
  <c r="L34" i="30"/>
  <c r="K34" i="30"/>
  <c r="J34" i="30"/>
  <c r="H34" i="30"/>
  <c r="G34" i="30"/>
  <c r="F34" i="30"/>
  <c r="D34" i="30"/>
  <c r="C34" i="30"/>
  <c r="B34" i="30"/>
  <c r="AS4" i="30"/>
  <c r="AS5" i="30" s="1"/>
  <c r="AS6" i="30" s="1"/>
  <c r="AS7" i="30" s="1"/>
  <c r="AS8" i="30" s="1"/>
  <c r="AS9" i="30" s="1"/>
  <c r="AS10" i="30" s="1"/>
  <c r="AS11" i="30" s="1"/>
  <c r="AS12" i="30" s="1"/>
  <c r="AS13" i="30" s="1"/>
  <c r="AS14" i="30" s="1"/>
  <c r="AS15" i="30" s="1"/>
  <c r="AS16" i="30" s="1"/>
  <c r="AS17" i="30" s="1"/>
  <c r="AS18" i="30" s="1"/>
  <c r="AS19" i="30" s="1"/>
  <c r="AS20" i="30" s="1"/>
  <c r="AS21" i="30" s="1"/>
  <c r="AS22" i="30" s="1"/>
  <c r="AS23" i="30" s="1"/>
  <c r="AS24" i="30" s="1"/>
  <c r="AS25" i="30" s="1"/>
  <c r="AS26" i="30" s="1"/>
  <c r="AS27" i="30" s="1"/>
  <c r="AS28" i="30" s="1"/>
  <c r="AS29" i="30" s="1"/>
  <c r="AS30" i="30" s="1"/>
  <c r="AS31" i="30" s="1"/>
  <c r="AS32" i="30" s="1"/>
  <c r="AS33" i="30" s="1"/>
  <c r="AO4" i="30"/>
  <c r="AO5" i="30" s="1"/>
  <c r="AO6" i="30" s="1"/>
  <c r="AO7" i="30" s="1"/>
  <c r="AO8" i="30" s="1"/>
  <c r="AO9" i="30" s="1"/>
  <c r="AO10" i="30" s="1"/>
  <c r="AO11" i="30" s="1"/>
  <c r="AO12" i="30" s="1"/>
  <c r="AO13" i="30" s="1"/>
  <c r="AO14" i="30" s="1"/>
  <c r="AO15" i="30" s="1"/>
  <c r="AO16" i="30" s="1"/>
  <c r="AO17" i="30" s="1"/>
  <c r="AO18" i="30" s="1"/>
  <c r="AO19" i="30" s="1"/>
  <c r="AO20" i="30" s="1"/>
  <c r="AO21" i="30" s="1"/>
  <c r="AO22" i="30" s="1"/>
  <c r="AO23" i="30" s="1"/>
  <c r="AO24" i="30" s="1"/>
  <c r="AO25" i="30" s="1"/>
  <c r="AO26" i="30" s="1"/>
  <c r="AO27" i="30" s="1"/>
  <c r="AO28" i="30" s="1"/>
  <c r="AO29" i="30" s="1"/>
  <c r="AO30" i="30" s="1"/>
  <c r="AO31" i="30" s="1"/>
  <c r="AO32" i="30" s="1"/>
  <c r="AK4" i="30"/>
  <c r="AK5" i="30" s="1"/>
  <c r="AK6" i="30" s="1"/>
  <c r="AK7" i="30" s="1"/>
  <c r="AK8" i="30" s="1"/>
  <c r="AK9" i="30" s="1"/>
  <c r="AK10" i="30" s="1"/>
  <c r="AK11" i="30" s="1"/>
  <c r="AK12" i="30" s="1"/>
  <c r="AK13" i="30" s="1"/>
  <c r="AK14" i="30" s="1"/>
  <c r="AK15" i="30" s="1"/>
  <c r="AK16" i="30" s="1"/>
  <c r="AK17" i="30" s="1"/>
  <c r="AK18" i="30" s="1"/>
  <c r="AK19" i="30" s="1"/>
  <c r="AK20" i="30" s="1"/>
  <c r="AK21" i="30" s="1"/>
  <c r="AK22" i="30" s="1"/>
  <c r="AK23" i="30" s="1"/>
  <c r="AK24" i="30" s="1"/>
  <c r="AK25" i="30" s="1"/>
  <c r="AK26" i="30" s="1"/>
  <c r="AK27" i="30" s="1"/>
  <c r="AK28" i="30" s="1"/>
  <c r="AK29" i="30" s="1"/>
  <c r="AK30" i="30" s="1"/>
  <c r="AK31" i="30" s="1"/>
  <c r="AK32" i="30" s="1"/>
  <c r="AK33" i="30" s="1"/>
  <c r="AG4" i="30"/>
  <c r="AG5" i="30" s="1"/>
  <c r="AG6" i="30" s="1"/>
  <c r="AG7" i="30" s="1"/>
  <c r="AG8" i="30" s="1"/>
  <c r="AG9" i="30" s="1"/>
  <c r="AG10" i="30" s="1"/>
  <c r="AG11" i="30" s="1"/>
  <c r="AG12" i="30" s="1"/>
  <c r="AG13" i="30" s="1"/>
  <c r="AG14" i="30" s="1"/>
  <c r="AG15" i="30" s="1"/>
  <c r="AG16" i="30" s="1"/>
  <c r="AG17" i="30" s="1"/>
  <c r="AG18" i="30" s="1"/>
  <c r="AG19" i="30" s="1"/>
  <c r="AG20" i="30" s="1"/>
  <c r="AG21" i="30" s="1"/>
  <c r="AG22" i="30" s="1"/>
  <c r="AG23" i="30" s="1"/>
  <c r="AG24" i="30" s="1"/>
  <c r="AG25" i="30" s="1"/>
  <c r="AG26" i="30" s="1"/>
  <c r="AG27" i="30" s="1"/>
  <c r="AG28" i="30" s="1"/>
  <c r="AG29" i="30" s="1"/>
  <c r="AG30" i="30" s="1"/>
  <c r="AG31" i="30" s="1"/>
  <c r="AG32" i="30" s="1"/>
  <c r="AC4" i="30"/>
  <c r="AC5" i="30" s="1"/>
  <c r="AC6" i="30" s="1"/>
  <c r="AC7" i="30" s="1"/>
  <c r="AC8" i="30" s="1"/>
  <c r="AC9" i="30" s="1"/>
  <c r="AC10" i="30" s="1"/>
  <c r="AC11" i="30" s="1"/>
  <c r="AC12" i="30" s="1"/>
  <c r="AC13" i="30" s="1"/>
  <c r="AC14" i="30" s="1"/>
  <c r="AC15" i="30" s="1"/>
  <c r="AC16" i="30" s="1"/>
  <c r="AC17" i="30" s="1"/>
  <c r="AC18" i="30" s="1"/>
  <c r="AC19" i="30" s="1"/>
  <c r="AC20" i="30" s="1"/>
  <c r="AC21" i="30" s="1"/>
  <c r="AC22" i="30" s="1"/>
  <c r="AC23" i="30" s="1"/>
  <c r="AC24" i="30" s="1"/>
  <c r="AC25" i="30" s="1"/>
  <c r="AC26" i="30" s="1"/>
  <c r="AC27" i="30" s="1"/>
  <c r="AC28" i="30" s="1"/>
  <c r="AC29" i="30" s="1"/>
  <c r="AC30" i="30" s="1"/>
  <c r="AC31" i="30" s="1"/>
  <c r="AC32" i="30" s="1"/>
  <c r="AC33" i="30" s="1"/>
  <c r="Y4" i="30"/>
  <c r="Y5" i="30" s="1"/>
  <c r="Y6" i="30" s="1"/>
  <c r="Y7" i="30" s="1"/>
  <c r="Y8" i="30" s="1"/>
  <c r="Y9" i="30" s="1"/>
  <c r="Y10" i="30" s="1"/>
  <c r="Y11" i="30" s="1"/>
  <c r="Y12" i="30" s="1"/>
  <c r="Y13" i="30" s="1"/>
  <c r="Y14" i="30" s="1"/>
  <c r="Y15" i="30" s="1"/>
  <c r="Y16" i="30" s="1"/>
  <c r="Y17" i="30" s="1"/>
  <c r="Y18" i="30" s="1"/>
  <c r="Y19" i="30" s="1"/>
  <c r="Y20" i="30" s="1"/>
  <c r="Y21" i="30" s="1"/>
  <c r="Y22" i="30" s="1"/>
  <c r="Y23" i="30" s="1"/>
  <c r="Y24" i="30" s="1"/>
  <c r="Y25" i="30" s="1"/>
  <c r="Y26" i="30" s="1"/>
  <c r="Y27" i="30" s="1"/>
  <c r="Y28" i="30" s="1"/>
  <c r="Y29" i="30" s="1"/>
  <c r="Y30" i="30" s="1"/>
  <c r="Y31" i="30" s="1"/>
  <c r="Y32" i="30" s="1"/>
  <c r="Y33" i="30" s="1"/>
  <c r="U4" i="30"/>
  <c r="U5" i="30" s="1"/>
  <c r="U6" i="30" s="1"/>
  <c r="U7" i="30" s="1"/>
  <c r="U8" i="30" s="1"/>
  <c r="U9" i="30" s="1"/>
  <c r="U10" i="30" s="1"/>
  <c r="U11" i="30" s="1"/>
  <c r="U12" i="30" s="1"/>
  <c r="U13" i="30" s="1"/>
  <c r="U14" i="30" s="1"/>
  <c r="U15" i="30" s="1"/>
  <c r="U16" i="30" s="1"/>
  <c r="U17" i="30" s="1"/>
  <c r="U18" i="30" s="1"/>
  <c r="U19" i="30" s="1"/>
  <c r="U20" i="30" s="1"/>
  <c r="U21" i="30" s="1"/>
  <c r="U22" i="30" s="1"/>
  <c r="U23" i="30" s="1"/>
  <c r="U24" i="30" s="1"/>
  <c r="U25" i="30" s="1"/>
  <c r="U26" i="30" s="1"/>
  <c r="U27" i="30" s="1"/>
  <c r="U28" i="30" s="1"/>
  <c r="U29" i="30" s="1"/>
  <c r="U30" i="30" s="1"/>
  <c r="U31" i="30" s="1"/>
  <c r="U32" i="30" s="1"/>
  <c r="Q4" i="30"/>
  <c r="Q5" i="30" s="1"/>
  <c r="Q6" i="30" s="1"/>
  <c r="Q7" i="30" s="1"/>
  <c r="Q8" i="30" s="1"/>
  <c r="Q9" i="30" s="1"/>
  <c r="Q10" i="30" s="1"/>
  <c r="Q11" i="30" s="1"/>
  <c r="Q12" i="30" s="1"/>
  <c r="Q13" i="30" s="1"/>
  <c r="Q14" i="30" s="1"/>
  <c r="Q15" i="30" s="1"/>
  <c r="Q16" i="30" s="1"/>
  <c r="Q17" i="30" s="1"/>
  <c r="Q18" i="30" s="1"/>
  <c r="Q19" i="30" s="1"/>
  <c r="Q20" i="30" s="1"/>
  <c r="Q21" i="30" s="1"/>
  <c r="Q22" i="30" s="1"/>
  <c r="Q23" i="30" s="1"/>
  <c r="Q24" i="30" s="1"/>
  <c r="Q25" i="30" s="1"/>
  <c r="Q26" i="30" s="1"/>
  <c r="Q27" i="30" s="1"/>
  <c r="Q28" i="30" s="1"/>
  <c r="Q29" i="30" s="1"/>
  <c r="Q30" i="30" s="1"/>
  <c r="Q31" i="30" s="1"/>
  <c r="Q32" i="30" s="1"/>
  <c r="Q33" i="30" s="1"/>
  <c r="M4" i="30"/>
  <c r="M5" i="30" s="1"/>
  <c r="M6" i="30" s="1"/>
  <c r="M7" i="30" s="1"/>
  <c r="M8" i="30" s="1"/>
  <c r="M9" i="30" s="1"/>
  <c r="M10" i="30" s="1"/>
  <c r="M11" i="30" s="1"/>
  <c r="M12" i="30" s="1"/>
  <c r="M13" i="30" s="1"/>
  <c r="M14" i="30" s="1"/>
  <c r="M15" i="30" s="1"/>
  <c r="M16" i="30" s="1"/>
  <c r="M17" i="30" s="1"/>
  <c r="M18" i="30" s="1"/>
  <c r="M19" i="30" s="1"/>
  <c r="M20" i="30" s="1"/>
  <c r="M21" i="30" s="1"/>
  <c r="M22" i="30" s="1"/>
  <c r="M23" i="30" s="1"/>
  <c r="M24" i="30" s="1"/>
  <c r="M25" i="30" s="1"/>
  <c r="M26" i="30" s="1"/>
  <c r="M27" i="30" s="1"/>
  <c r="M28" i="30" s="1"/>
  <c r="M29" i="30" s="1"/>
  <c r="M30" i="30" s="1"/>
  <c r="M31" i="30" s="1"/>
  <c r="M32" i="30" s="1"/>
  <c r="I4" i="30"/>
  <c r="I5" i="30" s="1"/>
  <c r="I6" i="30" s="1"/>
  <c r="I7" i="30" s="1"/>
  <c r="I8" i="30" s="1"/>
  <c r="I9" i="30" s="1"/>
  <c r="I10" i="30" s="1"/>
  <c r="I11" i="30" s="1"/>
  <c r="I12" i="30" s="1"/>
  <c r="I13" i="30" s="1"/>
  <c r="I14" i="30" s="1"/>
  <c r="I15" i="30" s="1"/>
  <c r="I16" i="30" s="1"/>
  <c r="I17" i="30" s="1"/>
  <c r="I18" i="30" s="1"/>
  <c r="I19" i="30" s="1"/>
  <c r="I20" i="30" s="1"/>
  <c r="I21" i="30" s="1"/>
  <c r="I22" i="30" s="1"/>
  <c r="I23" i="30" s="1"/>
  <c r="I24" i="30" s="1"/>
  <c r="I25" i="30" s="1"/>
  <c r="I26" i="30" s="1"/>
  <c r="I27" i="30" s="1"/>
  <c r="I28" i="30" s="1"/>
  <c r="I29" i="30" s="1"/>
  <c r="I30" i="30" s="1"/>
  <c r="I31" i="30" s="1"/>
  <c r="I32" i="30" s="1"/>
  <c r="I33" i="30" s="1"/>
  <c r="E4" i="30"/>
  <c r="E5" i="30" s="1"/>
  <c r="E6" i="30" s="1"/>
  <c r="E7" i="30" s="1"/>
  <c r="E8" i="30" s="1"/>
  <c r="E9" i="30" s="1"/>
  <c r="E10" i="30" s="1"/>
  <c r="E11" i="30" s="1"/>
  <c r="E12" i="30" s="1"/>
  <c r="E13" i="30" s="1"/>
  <c r="E14" i="30" s="1"/>
  <c r="E15" i="30" s="1"/>
  <c r="E16" i="30" s="1"/>
  <c r="E17" i="30" s="1"/>
  <c r="E18" i="30" s="1"/>
  <c r="E19" i="30" s="1"/>
  <c r="E20" i="30" s="1"/>
  <c r="E21" i="30" s="1"/>
  <c r="E22" i="30" s="1"/>
  <c r="E23" i="30" s="1"/>
  <c r="E24" i="30" s="1"/>
  <c r="E25" i="30" s="1"/>
  <c r="E26" i="30" s="1"/>
  <c r="E27" i="30" s="1"/>
  <c r="E28" i="30" s="1"/>
  <c r="E29" i="30" s="1"/>
  <c r="E30" i="30" s="1"/>
  <c r="A4" i="30"/>
  <c r="A5" i="30" s="1"/>
  <c r="A6" i="30" s="1"/>
  <c r="A7" i="30" s="1"/>
  <c r="A8" i="30" s="1"/>
  <c r="A9" i="30" s="1"/>
  <c r="A10" i="30" s="1"/>
  <c r="A11" i="30" s="1"/>
  <c r="A12" i="30" s="1"/>
  <c r="A13" i="30" s="1"/>
  <c r="A14" i="30" s="1"/>
  <c r="A15" i="30" s="1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2" i="30" s="1"/>
  <c r="A33" i="30" s="1"/>
  <c r="J38" i="31" l="1"/>
  <c r="AE38" i="31"/>
  <c r="AP38" i="31"/>
  <c r="K38" i="31"/>
  <c r="V38" i="31"/>
  <c r="AQ38" i="31"/>
  <c r="B38" i="31"/>
  <c r="W38" i="31"/>
  <c r="AH38" i="31"/>
  <c r="C38" i="31"/>
  <c r="N38" i="31"/>
  <c r="AI38" i="31"/>
  <c r="O38" i="31"/>
  <c r="Z38" i="31"/>
  <c r="H38" i="30"/>
  <c r="F38" i="31"/>
  <c r="AA38" i="31"/>
  <c r="AL38" i="31"/>
  <c r="G38" i="31"/>
  <c r="R38" i="31"/>
  <c r="AM38" i="31"/>
  <c r="S38" i="31"/>
  <c r="AD38" i="31"/>
  <c r="I1" i="30"/>
  <c r="AT42" i="31" s="1"/>
  <c r="J40" i="30"/>
  <c r="AB1" i="30"/>
  <c r="AT39" i="30"/>
  <c r="AT40" i="30"/>
  <c r="AU39" i="30"/>
  <c r="AV40" i="30"/>
  <c r="AU40" i="30"/>
  <c r="T1" i="30"/>
  <c r="AH40" i="30"/>
  <c r="AI39" i="30"/>
  <c r="AI40" i="30"/>
  <c r="AJ39" i="30"/>
  <c r="AJ40" i="30"/>
  <c r="AL42" i="30"/>
  <c r="L41" i="30"/>
  <c r="C41" i="30"/>
  <c r="W40" i="30"/>
  <c r="X39" i="30"/>
  <c r="X40" i="30"/>
  <c r="T38" i="30"/>
  <c r="V40" i="30"/>
  <c r="AN1" i="30"/>
  <c r="AU42" i="31" s="1"/>
  <c r="AR1" i="30"/>
  <c r="K40" i="30"/>
  <c r="D41" i="30"/>
  <c r="L40" i="30"/>
  <c r="R1" i="30"/>
  <c r="AP42" i="31" s="1"/>
  <c r="K41" i="30"/>
  <c r="V41" i="30"/>
  <c r="AF41" i="30"/>
  <c r="AQ41" i="30"/>
  <c r="W41" i="30"/>
  <c r="AH41" i="30"/>
  <c r="AR41" i="30"/>
  <c r="N41" i="30"/>
  <c r="X41" i="30"/>
  <c r="AI41" i="30"/>
  <c r="AT41" i="30"/>
  <c r="Z41" i="30"/>
  <c r="AJ41" i="30"/>
  <c r="AU41" i="30"/>
  <c r="AF1" i="30"/>
  <c r="AQ42" i="31" s="1"/>
  <c r="O41" i="30"/>
  <c r="AJ1" i="30"/>
  <c r="AV41" i="30"/>
  <c r="H41" i="30"/>
  <c r="AN41" i="30"/>
  <c r="M1" i="30"/>
  <c r="T41" i="30"/>
  <c r="AF38" i="30"/>
  <c r="V39" i="30"/>
  <c r="AV39" i="30"/>
  <c r="F41" i="30"/>
  <c r="P41" i="30"/>
  <c r="AA41" i="30"/>
  <c r="AL41" i="30"/>
  <c r="AM42" i="30"/>
  <c r="L38" i="30"/>
  <c r="AR38" i="30"/>
  <c r="W39" i="30"/>
  <c r="G41" i="30"/>
  <c r="R41" i="30"/>
  <c r="AB41" i="30"/>
  <c r="AM41" i="30"/>
  <c r="X38" i="30"/>
  <c r="S41" i="30"/>
  <c r="AD41" i="30"/>
  <c r="D38" i="30"/>
  <c r="AJ38" i="30"/>
  <c r="AH39" i="30"/>
  <c r="J41" i="30"/>
  <c r="AE41" i="30"/>
  <c r="AP41" i="30"/>
  <c r="P38" i="30"/>
  <c r="AV38" i="30"/>
  <c r="B35" i="30"/>
  <c r="F35" i="30" s="1"/>
  <c r="J35" i="30" s="1"/>
  <c r="N35" i="30" s="1"/>
  <c r="R35" i="30" s="1"/>
  <c r="V35" i="30" s="1"/>
  <c r="Z35" i="30" s="1"/>
  <c r="AD35" i="30" s="1"/>
  <c r="AH35" i="30" s="1"/>
  <c r="AL35" i="30" s="1"/>
  <c r="AP35" i="30" s="1"/>
  <c r="AT35" i="30" s="1"/>
  <c r="AB38" i="30"/>
  <c r="J39" i="30"/>
  <c r="B41" i="30"/>
  <c r="C35" i="30"/>
  <c r="G35" i="30" s="1"/>
  <c r="K35" i="30" s="1"/>
  <c r="O35" i="30" s="1"/>
  <c r="S35" i="30" s="1"/>
  <c r="W35" i="30" s="1"/>
  <c r="AA35" i="30" s="1"/>
  <c r="AE35" i="30" s="1"/>
  <c r="AI35" i="30" s="1"/>
  <c r="AM35" i="30" s="1"/>
  <c r="AQ35" i="30" s="1"/>
  <c r="AU35" i="30" s="1"/>
  <c r="AN38" i="30"/>
  <c r="K39" i="30"/>
  <c r="D35" i="30"/>
  <c r="H35" i="30" s="1"/>
  <c r="L35" i="30" s="1"/>
  <c r="P35" i="30" s="1"/>
  <c r="T35" i="30" s="1"/>
  <c r="X35" i="30" s="1"/>
  <c r="AB35" i="30" s="1"/>
  <c r="AF35" i="30" s="1"/>
  <c r="AJ35" i="30" s="1"/>
  <c r="AN35" i="30" s="1"/>
  <c r="AR35" i="30" s="1"/>
  <c r="AV35" i="30" s="1"/>
  <c r="AP43" i="31" s="1"/>
  <c r="L39" i="30"/>
  <c r="I10" i="11"/>
  <c r="AU1" i="30" l="1"/>
  <c r="C42" i="30"/>
  <c r="B42" i="30"/>
  <c r="B1" i="30"/>
  <c r="AT43" i="31" s="1"/>
  <c r="E1" i="30"/>
  <c r="C43" i="30"/>
  <c r="I17" i="11"/>
  <c r="G43" i="30" l="1"/>
  <c r="AU43" i="31"/>
  <c r="K43" i="30"/>
  <c r="K42" i="30"/>
  <c r="F43" i="30"/>
  <c r="B43" i="30"/>
  <c r="AL43" i="30"/>
  <c r="AQ43" i="31" s="1"/>
  <c r="V12" i="24"/>
  <c r="W12" i="24"/>
  <c r="P13" i="24"/>
  <c r="Q13" i="24"/>
  <c r="J43" i="30" l="1"/>
  <c r="J42" i="30"/>
  <c r="M28" i="22"/>
  <c r="P25" i="15" l="1"/>
  <c r="W5" i="24" l="1"/>
  <c r="U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V5" i="24"/>
  <c r="W14" i="24"/>
  <c r="V14" i="24"/>
  <c r="W13" i="24"/>
  <c r="V13" i="24"/>
  <c r="W11" i="24"/>
  <c r="V11" i="24"/>
  <c r="W10" i="24"/>
  <c r="V10" i="24"/>
  <c r="W9" i="24"/>
  <c r="V9" i="24"/>
  <c r="W8" i="24"/>
  <c r="V8" i="24"/>
  <c r="Q8" i="24"/>
  <c r="Q9" i="24"/>
  <c r="Q10" i="24"/>
  <c r="Q11" i="24"/>
  <c r="Q12" i="24"/>
  <c r="Q14" i="24"/>
  <c r="P9" i="24"/>
  <c r="P10" i="24"/>
  <c r="P11" i="24"/>
  <c r="P12" i="24"/>
  <c r="P14" i="24"/>
  <c r="P8" i="24"/>
  <c r="M4" i="22" l="1"/>
  <c r="M19" i="29" l="1"/>
  <c r="M18" i="29"/>
  <c r="M16" i="29"/>
  <c r="M15" i="29"/>
  <c r="M14" i="29"/>
  <c r="M13" i="29"/>
  <c r="M12" i="29"/>
  <c r="M11" i="29"/>
  <c r="M10" i="29"/>
  <c r="M8" i="29"/>
  <c r="M7" i="29"/>
  <c r="M5" i="29"/>
  <c r="M4" i="29"/>
  <c r="M3" i="29"/>
  <c r="O10" i="1" l="1"/>
  <c r="I10" i="1"/>
  <c r="M27" i="22" l="1"/>
  <c r="O44" i="1" l="1"/>
  <c r="I44" i="1"/>
  <c r="M6" i="22" l="1"/>
  <c r="I21" i="11" l="1"/>
  <c r="O43" i="1" l="1"/>
  <c r="I43" i="1"/>
  <c r="G42" i="28" l="1"/>
  <c r="F42" i="28"/>
  <c r="AV37" i="28"/>
  <c r="AU37" i="28"/>
  <c r="AT37" i="28"/>
  <c r="AR37" i="28"/>
  <c r="AQ37" i="28"/>
  <c r="AP37" i="28"/>
  <c r="AN37" i="28"/>
  <c r="AM37" i="28"/>
  <c r="AL37" i="28"/>
  <c r="AJ37" i="28"/>
  <c r="AI37" i="28"/>
  <c r="AH37" i="28"/>
  <c r="AF37" i="28"/>
  <c r="AE37" i="28"/>
  <c r="AD37" i="28"/>
  <c r="AB37" i="28"/>
  <c r="AA37" i="28"/>
  <c r="Z37" i="28"/>
  <c r="X37" i="28"/>
  <c r="W37" i="28"/>
  <c r="V37" i="28"/>
  <c r="T37" i="28"/>
  <c r="S37" i="28"/>
  <c r="R37" i="28"/>
  <c r="P37" i="28"/>
  <c r="O37" i="28"/>
  <c r="N37" i="28"/>
  <c r="L37" i="28"/>
  <c r="K37" i="28"/>
  <c r="J37" i="28"/>
  <c r="H37" i="28"/>
  <c r="G37" i="28"/>
  <c r="F37" i="28"/>
  <c r="D37" i="28"/>
  <c r="C37" i="28"/>
  <c r="B37" i="28"/>
  <c r="AV36" i="28"/>
  <c r="AU36" i="28"/>
  <c r="AT36" i="28"/>
  <c r="AR36" i="28"/>
  <c r="AQ36" i="28"/>
  <c r="AP36" i="28"/>
  <c r="AN36" i="28"/>
  <c r="AM36" i="28"/>
  <c r="AL36" i="28"/>
  <c r="AJ36" i="28"/>
  <c r="AI36" i="28"/>
  <c r="AH36" i="28"/>
  <c r="AF36" i="28"/>
  <c r="AE36" i="28"/>
  <c r="AD36" i="28"/>
  <c r="AB36" i="28"/>
  <c r="AA36" i="28"/>
  <c r="Z36" i="28"/>
  <c r="X36" i="28"/>
  <c r="W36" i="28"/>
  <c r="V36" i="28"/>
  <c r="T36" i="28"/>
  <c r="S36" i="28"/>
  <c r="R36" i="28"/>
  <c r="P36" i="28"/>
  <c r="O36" i="28"/>
  <c r="N36" i="28"/>
  <c r="L36" i="28"/>
  <c r="K36" i="28"/>
  <c r="J36" i="28"/>
  <c r="H36" i="28"/>
  <c r="G36" i="28"/>
  <c r="F36" i="28"/>
  <c r="D36" i="28"/>
  <c r="C36" i="28"/>
  <c r="B36" i="28"/>
  <c r="AV34" i="28"/>
  <c r="AU34" i="28"/>
  <c r="AU38" i="30" s="1"/>
  <c r="AT34" i="28"/>
  <c r="AT38" i="30" s="1"/>
  <c r="AR34" i="28"/>
  <c r="AQ34" i="28"/>
  <c r="AP34" i="28"/>
  <c r="AN34" i="28"/>
  <c r="AM34" i="28"/>
  <c r="AM38" i="30" s="1"/>
  <c r="AL34" i="28"/>
  <c r="AJ34" i="28"/>
  <c r="AI34" i="28"/>
  <c r="AH34" i="28"/>
  <c r="AF34" i="28"/>
  <c r="AE34" i="28"/>
  <c r="AD34" i="28"/>
  <c r="AB34" i="28"/>
  <c r="AA34" i="28"/>
  <c r="Z34" i="28"/>
  <c r="X34" i="28"/>
  <c r="W34" i="28"/>
  <c r="V34" i="28"/>
  <c r="T34" i="28"/>
  <c r="S34" i="28"/>
  <c r="R34" i="28"/>
  <c r="P34" i="28"/>
  <c r="O34" i="28"/>
  <c r="N34" i="28"/>
  <c r="L34" i="28"/>
  <c r="K34" i="28"/>
  <c r="J34" i="28"/>
  <c r="H34" i="28"/>
  <c r="G34" i="28"/>
  <c r="F34" i="28"/>
  <c r="D34" i="28"/>
  <c r="C34" i="28"/>
  <c r="B34" i="28"/>
  <c r="Y5" i="28"/>
  <c r="Y6" i="28" s="1"/>
  <c r="Y7" i="28" s="1"/>
  <c r="Y8" i="28" s="1"/>
  <c r="Y9" i="28" s="1"/>
  <c r="Y10" i="28" s="1"/>
  <c r="Y11" i="28" s="1"/>
  <c r="Y12" i="28" s="1"/>
  <c r="Y13" i="28" s="1"/>
  <c r="Y14" i="28" s="1"/>
  <c r="Y15" i="28" s="1"/>
  <c r="Y16" i="28" s="1"/>
  <c r="Y17" i="28" s="1"/>
  <c r="Y18" i="28" s="1"/>
  <c r="Y19" i="28" s="1"/>
  <c r="Y20" i="28" s="1"/>
  <c r="Y21" i="28" s="1"/>
  <c r="Y22" i="28" s="1"/>
  <c r="Y23" i="28" s="1"/>
  <c r="Y24" i="28" s="1"/>
  <c r="Y25" i="28" s="1"/>
  <c r="Y26" i="28" s="1"/>
  <c r="Y27" i="28" s="1"/>
  <c r="Y28" i="28" s="1"/>
  <c r="Y29" i="28" s="1"/>
  <c r="Y30" i="28" s="1"/>
  <c r="Y31" i="28" s="1"/>
  <c r="Y32" i="28" s="1"/>
  <c r="Y33" i="28" s="1"/>
  <c r="AS4" i="28"/>
  <c r="AS5" i="28" s="1"/>
  <c r="AS6" i="28" s="1"/>
  <c r="AS7" i="28" s="1"/>
  <c r="AS8" i="28" s="1"/>
  <c r="AS9" i="28" s="1"/>
  <c r="AS10" i="28" s="1"/>
  <c r="AS11" i="28" s="1"/>
  <c r="AS12" i="28" s="1"/>
  <c r="AS13" i="28" s="1"/>
  <c r="AS14" i="28" s="1"/>
  <c r="AS15" i="28" s="1"/>
  <c r="AS16" i="28" s="1"/>
  <c r="AS17" i="28" s="1"/>
  <c r="AS18" i="28" s="1"/>
  <c r="AS19" i="28" s="1"/>
  <c r="AS20" i="28" s="1"/>
  <c r="AS21" i="28" s="1"/>
  <c r="AS22" i="28" s="1"/>
  <c r="AS23" i="28" s="1"/>
  <c r="AS24" i="28" s="1"/>
  <c r="AS25" i="28" s="1"/>
  <c r="AS26" i="28" s="1"/>
  <c r="AS27" i="28" s="1"/>
  <c r="AS28" i="28" s="1"/>
  <c r="AS29" i="28" s="1"/>
  <c r="AS30" i="28" s="1"/>
  <c r="AS31" i="28" s="1"/>
  <c r="AS32" i="28" s="1"/>
  <c r="AS33" i="28" s="1"/>
  <c r="AO4" i="28"/>
  <c r="AO5" i="28" s="1"/>
  <c r="AO6" i="28" s="1"/>
  <c r="AO7" i="28" s="1"/>
  <c r="AO8" i="28" s="1"/>
  <c r="AO9" i="28" s="1"/>
  <c r="AO10" i="28" s="1"/>
  <c r="AO11" i="28" s="1"/>
  <c r="AO12" i="28" s="1"/>
  <c r="AO13" i="28" s="1"/>
  <c r="AO14" i="28" s="1"/>
  <c r="AO15" i="28" s="1"/>
  <c r="AO16" i="28" s="1"/>
  <c r="AO17" i="28" s="1"/>
  <c r="AO18" i="28" s="1"/>
  <c r="AO19" i="28" s="1"/>
  <c r="AO20" i="28" s="1"/>
  <c r="AO21" i="28" s="1"/>
  <c r="AO22" i="28" s="1"/>
  <c r="AO23" i="28" s="1"/>
  <c r="AO24" i="28" s="1"/>
  <c r="AO25" i="28" s="1"/>
  <c r="AO26" i="28" s="1"/>
  <c r="AO27" i="28" s="1"/>
  <c r="AO28" i="28" s="1"/>
  <c r="AO29" i="28" s="1"/>
  <c r="AO30" i="28" s="1"/>
  <c r="AO31" i="28" s="1"/>
  <c r="AO32" i="28" s="1"/>
  <c r="AK4" i="28"/>
  <c r="AK5" i="28" s="1"/>
  <c r="AK6" i="28" s="1"/>
  <c r="AK7" i="28" s="1"/>
  <c r="AK8" i="28" s="1"/>
  <c r="AK9" i="28" s="1"/>
  <c r="AK10" i="28" s="1"/>
  <c r="AK11" i="28" s="1"/>
  <c r="AK12" i="28" s="1"/>
  <c r="AK13" i="28" s="1"/>
  <c r="AK14" i="28" s="1"/>
  <c r="AK15" i="28" s="1"/>
  <c r="AK16" i="28" s="1"/>
  <c r="AK17" i="28" s="1"/>
  <c r="AK18" i="28" s="1"/>
  <c r="AK19" i="28" s="1"/>
  <c r="AK20" i="28" s="1"/>
  <c r="AK21" i="28" s="1"/>
  <c r="AK22" i="28" s="1"/>
  <c r="AK23" i="28" s="1"/>
  <c r="AK24" i="28" s="1"/>
  <c r="AK25" i="28" s="1"/>
  <c r="AK26" i="28" s="1"/>
  <c r="AK27" i="28" s="1"/>
  <c r="AK28" i="28" s="1"/>
  <c r="AK29" i="28" s="1"/>
  <c r="AK30" i="28" s="1"/>
  <c r="AK31" i="28" s="1"/>
  <c r="AK32" i="28" s="1"/>
  <c r="AK33" i="28" s="1"/>
  <c r="AG4" i="28"/>
  <c r="AG5" i="28" s="1"/>
  <c r="AG6" i="28" s="1"/>
  <c r="AG7" i="28" s="1"/>
  <c r="AG8" i="28" s="1"/>
  <c r="AG9" i="28" s="1"/>
  <c r="AG10" i="28" s="1"/>
  <c r="AG11" i="28" s="1"/>
  <c r="AG12" i="28" s="1"/>
  <c r="AG13" i="28" s="1"/>
  <c r="AG14" i="28" s="1"/>
  <c r="AG15" i="28" s="1"/>
  <c r="AG16" i="28" s="1"/>
  <c r="AG17" i="28" s="1"/>
  <c r="AG18" i="28" s="1"/>
  <c r="AG19" i="28" s="1"/>
  <c r="AG20" i="28" s="1"/>
  <c r="AG21" i="28" s="1"/>
  <c r="AG22" i="28" s="1"/>
  <c r="AG23" i="28" s="1"/>
  <c r="AG24" i="28" s="1"/>
  <c r="AG25" i="28" s="1"/>
  <c r="AG26" i="28" s="1"/>
  <c r="AG27" i="28" s="1"/>
  <c r="AG28" i="28" s="1"/>
  <c r="AG29" i="28" s="1"/>
  <c r="AG30" i="28" s="1"/>
  <c r="AG31" i="28" s="1"/>
  <c r="AG32" i="28" s="1"/>
  <c r="AC4" i="28"/>
  <c r="AC5" i="28" s="1"/>
  <c r="AC6" i="28" s="1"/>
  <c r="AC7" i="28" s="1"/>
  <c r="AC8" i="28" s="1"/>
  <c r="AC9" i="28" s="1"/>
  <c r="AC10" i="28" s="1"/>
  <c r="AC11" i="28" s="1"/>
  <c r="AC12" i="28" s="1"/>
  <c r="AC13" i="28" s="1"/>
  <c r="AC14" i="28" s="1"/>
  <c r="AC15" i="28" s="1"/>
  <c r="AC16" i="28" s="1"/>
  <c r="AC17" i="28" s="1"/>
  <c r="AC18" i="28" s="1"/>
  <c r="AC19" i="28" s="1"/>
  <c r="AC20" i="28" s="1"/>
  <c r="AC21" i="28" s="1"/>
  <c r="AC22" i="28" s="1"/>
  <c r="AC23" i="28" s="1"/>
  <c r="AC24" i="28" s="1"/>
  <c r="AC25" i="28" s="1"/>
  <c r="AC26" i="28" s="1"/>
  <c r="AC27" i="28" s="1"/>
  <c r="AC28" i="28" s="1"/>
  <c r="AC29" i="28" s="1"/>
  <c r="AC30" i="28" s="1"/>
  <c r="AC31" i="28" s="1"/>
  <c r="AC32" i="28" s="1"/>
  <c r="AC33" i="28" s="1"/>
  <c r="Y4" i="28"/>
  <c r="U4" i="28"/>
  <c r="U5" i="28" s="1"/>
  <c r="U6" i="28" s="1"/>
  <c r="U7" i="28" s="1"/>
  <c r="U8" i="28" s="1"/>
  <c r="U9" i="28" s="1"/>
  <c r="U10" i="28" s="1"/>
  <c r="U11" i="28" s="1"/>
  <c r="U12" i="28" s="1"/>
  <c r="U13" i="28" s="1"/>
  <c r="U14" i="28" s="1"/>
  <c r="U15" i="28" s="1"/>
  <c r="U16" i="28" s="1"/>
  <c r="U17" i="28" s="1"/>
  <c r="U18" i="28" s="1"/>
  <c r="U19" i="28" s="1"/>
  <c r="U20" i="28" s="1"/>
  <c r="U21" i="28" s="1"/>
  <c r="U22" i="28" s="1"/>
  <c r="U23" i="28" s="1"/>
  <c r="U24" i="28" s="1"/>
  <c r="U25" i="28" s="1"/>
  <c r="U26" i="28" s="1"/>
  <c r="U27" i="28" s="1"/>
  <c r="U28" i="28" s="1"/>
  <c r="U29" i="28" s="1"/>
  <c r="U30" i="28" s="1"/>
  <c r="U31" i="28" s="1"/>
  <c r="U32" i="28" s="1"/>
  <c r="Q4" i="28"/>
  <c r="Q5" i="28" s="1"/>
  <c r="Q6" i="28" s="1"/>
  <c r="Q7" i="28" s="1"/>
  <c r="Q8" i="28" s="1"/>
  <c r="Q9" i="28" s="1"/>
  <c r="Q10" i="28" s="1"/>
  <c r="Q11" i="28" s="1"/>
  <c r="Q12" i="28" s="1"/>
  <c r="Q13" i="28" s="1"/>
  <c r="Q14" i="28" s="1"/>
  <c r="Q15" i="28" s="1"/>
  <c r="Q16" i="28" s="1"/>
  <c r="Q17" i="28" s="1"/>
  <c r="Q18" i="28" s="1"/>
  <c r="Q19" i="28" s="1"/>
  <c r="Q20" i="28" s="1"/>
  <c r="Q21" i="28" s="1"/>
  <c r="Q22" i="28" s="1"/>
  <c r="Q23" i="28" s="1"/>
  <c r="Q24" i="28" s="1"/>
  <c r="Q25" i="28" s="1"/>
  <c r="Q26" i="28" s="1"/>
  <c r="Q27" i="28" s="1"/>
  <c r="Q28" i="28" s="1"/>
  <c r="Q29" i="28" s="1"/>
  <c r="Q30" i="28" s="1"/>
  <c r="Q31" i="28" s="1"/>
  <c r="Q32" i="28" s="1"/>
  <c r="Q33" i="28" s="1"/>
  <c r="M4" i="28"/>
  <c r="M5" i="28" s="1"/>
  <c r="M6" i="28" s="1"/>
  <c r="M7" i="28" s="1"/>
  <c r="M8" i="28" s="1"/>
  <c r="M9" i="28" s="1"/>
  <c r="M10" i="28" s="1"/>
  <c r="M11" i="28" s="1"/>
  <c r="M12" i="28" s="1"/>
  <c r="M13" i="28" s="1"/>
  <c r="M14" i="28" s="1"/>
  <c r="M15" i="28" s="1"/>
  <c r="M16" i="28" s="1"/>
  <c r="M17" i="28" s="1"/>
  <c r="M18" i="28" s="1"/>
  <c r="M19" i="28" s="1"/>
  <c r="M20" i="28" s="1"/>
  <c r="M21" i="28" s="1"/>
  <c r="M22" i="28" s="1"/>
  <c r="M23" i="28" s="1"/>
  <c r="M24" i="28" s="1"/>
  <c r="M25" i="28" s="1"/>
  <c r="M26" i="28" s="1"/>
  <c r="M27" i="28" s="1"/>
  <c r="M28" i="28" s="1"/>
  <c r="M29" i="28" s="1"/>
  <c r="M30" i="28" s="1"/>
  <c r="M31" i="28" s="1"/>
  <c r="M32" i="28" s="1"/>
  <c r="I4" i="28"/>
  <c r="I5" i="28" s="1"/>
  <c r="I6" i="28" s="1"/>
  <c r="I7" i="28" s="1"/>
  <c r="I8" i="28" s="1"/>
  <c r="I9" i="28" s="1"/>
  <c r="I10" i="28" s="1"/>
  <c r="I11" i="28" s="1"/>
  <c r="I12" i="28" s="1"/>
  <c r="I13" i="28" s="1"/>
  <c r="I14" i="28" s="1"/>
  <c r="I15" i="28" s="1"/>
  <c r="I16" i="28" s="1"/>
  <c r="I17" i="28" s="1"/>
  <c r="I18" i="28" s="1"/>
  <c r="I19" i="28" s="1"/>
  <c r="I20" i="28" s="1"/>
  <c r="I21" i="28" s="1"/>
  <c r="I22" i="28" s="1"/>
  <c r="I23" i="28" s="1"/>
  <c r="I24" i="28" s="1"/>
  <c r="I25" i="28" s="1"/>
  <c r="I26" i="28" s="1"/>
  <c r="I27" i="28" s="1"/>
  <c r="I28" i="28" s="1"/>
  <c r="I29" i="28" s="1"/>
  <c r="I30" i="28" s="1"/>
  <c r="I31" i="28" s="1"/>
  <c r="I32" i="28" s="1"/>
  <c r="I33" i="28" s="1"/>
  <c r="E4" i="28"/>
  <c r="E5" i="28" s="1"/>
  <c r="E6" i="28" s="1"/>
  <c r="E7" i="28" s="1"/>
  <c r="E8" i="28" s="1"/>
  <c r="E9" i="28" s="1"/>
  <c r="E10" i="28" s="1"/>
  <c r="E11" i="28" s="1"/>
  <c r="E12" i="28" s="1"/>
  <c r="E13" i="28" s="1"/>
  <c r="E14" i="28" s="1"/>
  <c r="E15" i="28" s="1"/>
  <c r="E16" i="28" s="1"/>
  <c r="E17" i="28" s="1"/>
  <c r="E18" i="28" s="1"/>
  <c r="E19" i="28" s="1"/>
  <c r="E20" i="28" s="1"/>
  <c r="E21" i="28" s="1"/>
  <c r="E22" i="28" s="1"/>
  <c r="E23" i="28" s="1"/>
  <c r="E24" i="28" s="1"/>
  <c r="E25" i="28" s="1"/>
  <c r="E26" i="28" s="1"/>
  <c r="E27" i="28" s="1"/>
  <c r="E28" i="28" s="1"/>
  <c r="E29" i="28" s="1"/>
  <c r="E30" i="28" s="1"/>
  <c r="A4" i="28"/>
  <c r="A5" i="28" s="1"/>
  <c r="A6" i="28" s="1"/>
  <c r="A7" i="28" s="1"/>
  <c r="A8" i="28" s="1"/>
  <c r="A9" i="28" s="1"/>
  <c r="A10" i="28" s="1"/>
  <c r="A11" i="28" s="1"/>
  <c r="A12" i="28" s="1"/>
  <c r="A13" i="28" s="1"/>
  <c r="A14" i="28" s="1"/>
  <c r="A15" i="28" s="1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26" i="28" s="1"/>
  <c r="A27" i="28" s="1"/>
  <c r="A28" i="28" s="1"/>
  <c r="A29" i="28" s="1"/>
  <c r="A30" i="28" s="1"/>
  <c r="A31" i="28" s="1"/>
  <c r="A32" i="28" s="1"/>
  <c r="A33" i="28" s="1"/>
  <c r="J38" i="30" l="1"/>
  <c r="AE38" i="30"/>
  <c r="AP38" i="30"/>
  <c r="K38" i="30"/>
  <c r="V38" i="30"/>
  <c r="AQ38" i="30"/>
  <c r="B38" i="30"/>
  <c r="W38" i="30"/>
  <c r="AH38" i="30"/>
  <c r="C38" i="30"/>
  <c r="N38" i="30"/>
  <c r="AI38" i="30"/>
  <c r="O38" i="30"/>
  <c r="Z38" i="30"/>
  <c r="F38" i="30"/>
  <c r="AA38" i="30"/>
  <c r="AL38" i="30"/>
  <c r="G38" i="30"/>
  <c r="R38" i="30"/>
  <c r="S38" i="30"/>
  <c r="AD38" i="30"/>
  <c r="AI40" i="28"/>
  <c r="X40" i="28"/>
  <c r="V40" i="28"/>
  <c r="W40" i="28"/>
  <c r="L38" i="28"/>
  <c r="B35" i="28"/>
  <c r="F35" i="28" s="1"/>
  <c r="J35" i="28" s="1"/>
  <c r="AJ1" i="28"/>
  <c r="AT40" i="28"/>
  <c r="AU40" i="28"/>
  <c r="AV40" i="28"/>
  <c r="AR38" i="28"/>
  <c r="AH40" i="28"/>
  <c r="I1" i="28"/>
  <c r="AN1" i="28"/>
  <c r="AU42" i="30" s="1"/>
  <c r="AR1" i="28"/>
  <c r="R1" i="28"/>
  <c r="AP42" i="30" s="1"/>
  <c r="AF1" i="28"/>
  <c r="AQ42" i="30" s="1"/>
  <c r="T1" i="28"/>
  <c r="B42" i="28" s="1"/>
  <c r="AB1" i="28"/>
  <c r="C42" i="28" s="1"/>
  <c r="L40" i="28"/>
  <c r="C41" i="28"/>
  <c r="K39" i="28"/>
  <c r="C35" i="28"/>
  <c r="G35" i="28" s="1"/>
  <c r="K35" i="28" s="1"/>
  <c r="AM42" i="28"/>
  <c r="N41" i="28"/>
  <c r="N35" i="28"/>
  <c r="R35" i="28" s="1"/>
  <c r="V35" i="28" s="1"/>
  <c r="Z35" i="28" s="1"/>
  <c r="AD35" i="28" s="1"/>
  <c r="AH35" i="28" s="1"/>
  <c r="AL35" i="28" s="1"/>
  <c r="AP35" i="28" s="1"/>
  <c r="AT35" i="28" s="1"/>
  <c r="V39" i="28"/>
  <c r="X41" i="28"/>
  <c r="AI41" i="28"/>
  <c r="AT41" i="28"/>
  <c r="D41" i="28"/>
  <c r="L39" i="28"/>
  <c r="D35" i="28"/>
  <c r="H35" i="28" s="1"/>
  <c r="L35" i="28" s="1"/>
  <c r="P35" i="28" s="1"/>
  <c r="T35" i="28" s="1"/>
  <c r="X35" i="28" s="1"/>
  <c r="AB35" i="28" s="1"/>
  <c r="AF35" i="28" s="1"/>
  <c r="AJ35" i="28" s="1"/>
  <c r="AN35" i="28" s="1"/>
  <c r="AR35" i="28" s="1"/>
  <c r="AV35" i="28" s="1"/>
  <c r="AP43" i="30" s="1"/>
  <c r="O41" i="28"/>
  <c r="O35" i="28"/>
  <c r="S35" i="28" s="1"/>
  <c r="W35" i="28" s="1"/>
  <c r="AA35" i="28" s="1"/>
  <c r="AE35" i="28" s="1"/>
  <c r="AI35" i="28" s="1"/>
  <c r="AM35" i="28" s="1"/>
  <c r="AQ35" i="28" s="1"/>
  <c r="AU35" i="28" s="1"/>
  <c r="Z41" i="28"/>
  <c r="AB38" i="28"/>
  <c r="AJ41" i="28"/>
  <c r="AU41" i="28"/>
  <c r="J40" i="28"/>
  <c r="H38" i="28"/>
  <c r="F41" i="28"/>
  <c r="X39" i="28"/>
  <c r="P41" i="28"/>
  <c r="AA41" i="28"/>
  <c r="AT39" i="28"/>
  <c r="AN38" i="28"/>
  <c r="AL41" i="28"/>
  <c r="AV41" i="28"/>
  <c r="K40" i="28"/>
  <c r="P38" i="28"/>
  <c r="G41" i="28"/>
  <c r="T38" i="28"/>
  <c r="R41" i="28"/>
  <c r="AJ39" i="28"/>
  <c r="AB41" i="28"/>
  <c r="AU39" i="28"/>
  <c r="AM41" i="28"/>
  <c r="AV38" i="28"/>
  <c r="J41" i="28"/>
  <c r="H41" i="28"/>
  <c r="AN41" i="28"/>
  <c r="W39" i="28"/>
  <c r="T41" i="28"/>
  <c r="AJ40" i="28"/>
  <c r="AH39" i="28"/>
  <c r="AE41" i="28"/>
  <c r="V41" i="28"/>
  <c r="X38" i="28"/>
  <c r="AQ41" i="28"/>
  <c r="AI39" i="28"/>
  <c r="K41" i="28"/>
  <c r="AF41" i="28"/>
  <c r="D38" i="28"/>
  <c r="AL42" i="28"/>
  <c r="M1" i="28"/>
  <c r="B41" i="28"/>
  <c r="J39" i="28"/>
  <c r="AP41" i="28"/>
  <c r="L41" i="28"/>
  <c r="W41" i="28"/>
  <c r="AH41" i="28"/>
  <c r="AR41" i="28"/>
  <c r="AJ38" i="28"/>
  <c r="AF38" i="28"/>
  <c r="AV39" i="28"/>
  <c r="S41" i="28"/>
  <c r="AD41" i="28"/>
  <c r="I41" i="11"/>
  <c r="AT42" i="30" l="1"/>
  <c r="AU1" i="28"/>
  <c r="E1" i="28"/>
  <c r="B1" i="28"/>
  <c r="AT43" i="30" s="1"/>
  <c r="I24" i="11"/>
  <c r="AU43" i="30" l="1"/>
  <c r="G43" i="28"/>
  <c r="K43" i="28" s="1"/>
  <c r="C43" i="28"/>
  <c r="F43" i="28"/>
  <c r="B43" i="28"/>
  <c r="AL43" i="28"/>
  <c r="AQ43" i="30" s="1"/>
  <c r="K42" i="28" l="1"/>
  <c r="J43" i="28"/>
  <c r="J42" i="28"/>
  <c r="O42" i="1" l="1"/>
  <c r="I42" i="1"/>
  <c r="G29" i="10" l="1"/>
  <c r="G2" i="10" l="1"/>
  <c r="M26" i="22" l="1"/>
  <c r="M17" i="22" l="1"/>
  <c r="P4" i="15" l="1"/>
  <c r="O9" i="1" l="1"/>
  <c r="I9" i="1"/>
  <c r="M13" i="22" l="1"/>
  <c r="U8" i="13" l="1"/>
  <c r="D54" i="5" l="1"/>
  <c r="D55" i="5"/>
  <c r="D56" i="5"/>
  <c r="D53" i="5"/>
  <c r="D62" i="5"/>
  <c r="D63" i="5"/>
  <c r="D64" i="5"/>
  <c r="D65" i="5"/>
  <c r="D66" i="5"/>
  <c r="D67" i="5"/>
  <c r="D68" i="5"/>
  <c r="D61" i="5"/>
  <c r="D81" i="5" l="1"/>
  <c r="D82" i="5"/>
  <c r="D83" i="5"/>
  <c r="D84" i="5"/>
  <c r="D85" i="5"/>
  <c r="D86" i="5"/>
  <c r="D87" i="5"/>
  <c r="D88" i="5"/>
  <c r="D89" i="5"/>
  <c r="D90" i="5"/>
  <c r="D91" i="5"/>
  <c r="D92" i="5"/>
  <c r="D80" i="5"/>
  <c r="H93" i="5" l="1"/>
  <c r="G93" i="5"/>
  <c r="F93" i="5"/>
  <c r="E93" i="5"/>
  <c r="D93" i="5"/>
  <c r="C93" i="5"/>
  <c r="B93" i="5"/>
  <c r="G42" i="27" l="1"/>
  <c r="F42" i="27"/>
  <c r="AV37" i="27"/>
  <c r="AU37" i="27"/>
  <c r="AT37" i="27"/>
  <c r="AR37" i="27"/>
  <c r="AQ37" i="27"/>
  <c r="AP37" i="27"/>
  <c r="AN37" i="27"/>
  <c r="AM37" i="27"/>
  <c r="AL37" i="27"/>
  <c r="AJ37" i="27"/>
  <c r="AI37" i="27"/>
  <c r="AH37" i="27"/>
  <c r="AF37" i="27"/>
  <c r="AE37" i="27"/>
  <c r="AD37" i="27"/>
  <c r="AB37" i="27"/>
  <c r="AA37" i="27"/>
  <c r="Z37" i="27"/>
  <c r="X37" i="27"/>
  <c r="W37" i="27"/>
  <c r="V37" i="27"/>
  <c r="T37" i="27"/>
  <c r="S37" i="27"/>
  <c r="R37" i="27"/>
  <c r="P37" i="27"/>
  <c r="O37" i="27"/>
  <c r="N37" i="27"/>
  <c r="L37" i="27"/>
  <c r="K37" i="27"/>
  <c r="J37" i="27"/>
  <c r="H37" i="27"/>
  <c r="G37" i="27"/>
  <c r="F37" i="27"/>
  <c r="D37" i="27"/>
  <c r="C37" i="27"/>
  <c r="B37" i="27"/>
  <c r="AV36" i="27"/>
  <c r="AU36" i="27"/>
  <c r="AT36" i="27"/>
  <c r="AR36" i="27"/>
  <c r="AQ36" i="27"/>
  <c r="AP36" i="27"/>
  <c r="AN36" i="27"/>
  <c r="AM36" i="27"/>
  <c r="AL36" i="27"/>
  <c r="AJ36" i="27"/>
  <c r="AI36" i="27"/>
  <c r="AH36" i="27"/>
  <c r="AF36" i="27"/>
  <c r="AE36" i="27"/>
  <c r="AD36" i="27"/>
  <c r="AB36" i="27"/>
  <c r="AA36" i="27"/>
  <c r="Z36" i="27"/>
  <c r="X36" i="27"/>
  <c r="W36" i="27"/>
  <c r="V36" i="27"/>
  <c r="T36" i="27"/>
  <c r="S36" i="27"/>
  <c r="R36" i="27"/>
  <c r="P36" i="27"/>
  <c r="O36" i="27"/>
  <c r="N36" i="27"/>
  <c r="L36" i="27"/>
  <c r="K36" i="27"/>
  <c r="J36" i="27"/>
  <c r="H36" i="27"/>
  <c r="G36" i="27"/>
  <c r="F36" i="27"/>
  <c r="D36" i="27"/>
  <c r="C36" i="27"/>
  <c r="B36" i="27"/>
  <c r="AV34" i="27"/>
  <c r="AU34" i="27"/>
  <c r="AU38" i="28" s="1"/>
  <c r="AT34" i="27"/>
  <c r="AT38" i="28" s="1"/>
  <c r="AR34" i="27"/>
  <c r="AQ34" i="27"/>
  <c r="AQ38" i="28" s="1"/>
  <c r="AP34" i="27"/>
  <c r="AP38" i="28" s="1"/>
  <c r="AN34" i="27"/>
  <c r="AM34" i="27"/>
  <c r="AM38" i="28" s="1"/>
  <c r="AL34" i="27"/>
  <c r="AL38" i="28" s="1"/>
  <c r="AJ34" i="27"/>
  <c r="AI34" i="27"/>
  <c r="AI38" i="28" s="1"/>
  <c r="AH34" i="27"/>
  <c r="AH38" i="28" s="1"/>
  <c r="AF34" i="27"/>
  <c r="AE34" i="27"/>
  <c r="AE38" i="28" s="1"/>
  <c r="AD34" i="27"/>
  <c r="AD38" i="28" s="1"/>
  <c r="AB34" i="27"/>
  <c r="AA34" i="27"/>
  <c r="AA38" i="28" s="1"/>
  <c r="Z34" i="27"/>
  <c r="Z38" i="28" s="1"/>
  <c r="X34" i="27"/>
  <c r="W34" i="27"/>
  <c r="W38" i="28" s="1"/>
  <c r="V34" i="27"/>
  <c r="V38" i="28" s="1"/>
  <c r="T34" i="27"/>
  <c r="T41" i="27" s="1"/>
  <c r="S34" i="27"/>
  <c r="S38" i="28" s="1"/>
  <c r="R34" i="27"/>
  <c r="R38" i="28" s="1"/>
  <c r="P34" i="27"/>
  <c r="O34" i="27"/>
  <c r="O38" i="28" s="1"/>
  <c r="N34" i="27"/>
  <c r="N38" i="28" s="1"/>
  <c r="L34" i="27"/>
  <c r="K34" i="27"/>
  <c r="K38" i="28" s="1"/>
  <c r="J34" i="27"/>
  <c r="J38" i="28" s="1"/>
  <c r="H34" i="27"/>
  <c r="G34" i="27"/>
  <c r="G38" i="28" s="1"/>
  <c r="F34" i="27"/>
  <c r="F38" i="28" s="1"/>
  <c r="D34" i="27"/>
  <c r="C34" i="27"/>
  <c r="C38" i="28" s="1"/>
  <c r="B34" i="27"/>
  <c r="B38" i="28" s="1"/>
  <c r="AS4" i="27"/>
  <c r="AS5" i="27" s="1"/>
  <c r="AS6" i="27" s="1"/>
  <c r="AS7" i="27" s="1"/>
  <c r="AS8" i="27" s="1"/>
  <c r="AS9" i="27" s="1"/>
  <c r="AS10" i="27" s="1"/>
  <c r="AS11" i="27" s="1"/>
  <c r="AS12" i="27" s="1"/>
  <c r="AS13" i="27" s="1"/>
  <c r="AS14" i="27" s="1"/>
  <c r="AS15" i="27" s="1"/>
  <c r="AS16" i="27" s="1"/>
  <c r="AS17" i="27" s="1"/>
  <c r="AS18" i="27" s="1"/>
  <c r="AS19" i="27" s="1"/>
  <c r="AS20" i="27" s="1"/>
  <c r="AS21" i="27" s="1"/>
  <c r="AS22" i="27" s="1"/>
  <c r="AS23" i="27" s="1"/>
  <c r="AS24" i="27" s="1"/>
  <c r="AS25" i="27" s="1"/>
  <c r="AS26" i="27" s="1"/>
  <c r="AS27" i="27" s="1"/>
  <c r="AS28" i="27" s="1"/>
  <c r="AS29" i="27" s="1"/>
  <c r="AS30" i="27" s="1"/>
  <c r="AS31" i="27" s="1"/>
  <c r="AS32" i="27" s="1"/>
  <c r="AS33" i="27" s="1"/>
  <c r="AO4" i="27"/>
  <c r="AO5" i="27" s="1"/>
  <c r="AO6" i="27" s="1"/>
  <c r="AO7" i="27" s="1"/>
  <c r="AO8" i="27" s="1"/>
  <c r="AO9" i="27" s="1"/>
  <c r="AO10" i="27" s="1"/>
  <c r="AO11" i="27" s="1"/>
  <c r="AO12" i="27" s="1"/>
  <c r="AO13" i="27" s="1"/>
  <c r="AO14" i="27" s="1"/>
  <c r="AO15" i="27" s="1"/>
  <c r="AO16" i="27" s="1"/>
  <c r="AO17" i="27" s="1"/>
  <c r="AO18" i="27" s="1"/>
  <c r="AO19" i="27" s="1"/>
  <c r="AO20" i="27" s="1"/>
  <c r="AO21" i="27" s="1"/>
  <c r="AO22" i="27" s="1"/>
  <c r="AO23" i="27" s="1"/>
  <c r="AO24" i="27" s="1"/>
  <c r="AO25" i="27" s="1"/>
  <c r="AO26" i="27" s="1"/>
  <c r="AO27" i="27" s="1"/>
  <c r="AO28" i="27" s="1"/>
  <c r="AO29" i="27" s="1"/>
  <c r="AO30" i="27" s="1"/>
  <c r="AO31" i="27" s="1"/>
  <c r="AO32" i="27" s="1"/>
  <c r="AK4" i="27"/>
  <c r="AK5" i="27" s="1"/>
  <c r="AK6" i="27" s="1"/>
  <c r="AK7" i="27" s="1"/>
  <c r="AK8" i="27" s="1"/>
  <c r="AK9" i="27" s="1"/>
  <c r="AK10" i="27" s="1"/>
  <c r="AK11" i="27" s="1"/>
  <c r="AK12" i="27" s="1"/>
  <c r="AK13" i="27" s="1"/>
  <c r="AK14" i="27" s="1"/>
  <c r="AK15" i="27" s="1"/>
  <c r="AK16" i="27" s="1"/>
  <c r="AK17" i="27" s="1"/>
  <c r="AK18" i="27" s="1"/>
  <c r="AK19" i="27" s="1"/>
  <c r="AK20" i="27" s="1"/>
  <c r="AK21" i="27" s="1"/>
  <c r="AK22" i="27" s="1"/>
  <c r="AK23" i="27" s="1"/>
  <c r="AK24" i="27" s="1"/>
  <c r="AK25" i="27" s="1"/>
  <c r="AK26" i="27" s="1"/>
  <c r="AK27" i="27" s="1"/>
  <c r="AK28" i="27" s="1"/>
  <c r="AK29" i="27" s="1"/>
  <c r="AK30" i="27" s="1"/>
  <c r="AK31" i="27" s="1"/>
  <c r="AK32" i="27" s="1"/>
  <c r="AK33" i="27" s="1"/>
  <c r="AG4" i="27"/>
  <c r="AG5" i="27" s="1"/>
  <c r="AG6" i="27" s="1"/>
  <c r="AG7" i="27" s="1"/>
  <c r="AG8" i="27" s="1"/>
  <c r="AG9" i="27" s="1"/>
  <c r="AG10" i="27" s="1"/>
  <c r="AG11" i="27" s="1"/>
  <c r="AG12" i="27" s="1"/>
  <c r="AG13" i="27" s="1"/>
  <c r="AG14" i="27" s="1"/>
  <c r="AG15" i="27" s="1"/>
  <c r="AG16" i="27" s="1"/>
  <c r="AG17" i="27" s="1"/>
  <c r="AG18" i="27" s="1"/>
  <c r="AG19" i="27" s="1"/>
  <c r="AG20" i="27" s="1"/>
  <c r="AG21" i="27" s="1"/>
  <c r="AG22" i="27" s="1"/>
  <c r="AG23" i="27" s="1"/>
  <c r="AG24" i="27" s="1"/>
  <c r="AG25" i="27" s="1"/>
  <c r="AG26" i="27" s="1"/>
  <c r="AG27" i="27" s="1"/>
  <c r="AG28" i="27" s="1"/>
  <c r="AG29" i="27" s="1"/>
  <c r="AG30" i="27" s="1"/>
  <c r="AG31" i="27" s="1"/>
  <c r="AG32" i="27" s="1"/>
  <c r="AC4" i="27"/>
  <c r="AC5" i="27" s="1"/>
  <c r="AC6" i="27" s="1"/>
  <c r="AC7" i="27" s="1"/>
  <c r="AC8" i="27" s="1"/>
  <c r="AC9" i="27" s="1"/>
  <c r="AC10" i="27" s="1"/>
  <c r="AC11" i="27" s="1"/>
  <c r="AC12" i="27" s="1"/>
  <c r="AC13" i="27" s="1"/>
  <c r="AC14" i="27" s="1"/>
  <c r="AC15" i="27" s="1"/>
  <c r="AC16" i="27" s="1"/>
  <c r="AC17" i="27" s="1"/>
  <c r="AC18" i="27" s="1"/>
  <c r="AC19" i="27" s="1"/>
  <c r="AC20" i="27" s="1"/>
  <c r="AC21" i="27" s="1"/>
  <c r="AC22" i="27" s="1"/>
  <c r="AC23" i="27" s="1"/>
  <c r="AC24" i="27" s="1"/>
  <c r="AC25" i="27" s="1"/>
  <c r="AC26" i="27" s="1"/>
  <c r="AC27" i="27" s="1"/>
  <c r="AC28" i="27" s="1"/>
  <c r="AC29" i="27" s="1"/>
  <c r="AC30" i="27" s="1"/>
  <c r="AC31" i="27" s="1"/>
  <c r="AC32" i="27" s="1"/>
  <c r="AC33" i="27" s="1"/>
  <c r="Y4" i="27"/>
  <c r="Y5" i="27" s="1"/>
  <c r="Y6" i="27" s="1"/>
  <c r="Y7" i="27" s="1"/>
  <c r="Y8" i="27" s="1"/>
  <c r="Y9" i="27" s="1"/>
  <c r="Y10" i="27" s="1"/>
  <c r="Y11" i="27" s="1"/>
  <c r="Y12" i="27" s="1"/>
  <c r="Y13" i="27" s="1"/>
  <c r="Y14" i="27" s="1"/>
  <c r="Y15" i="27" s="1"/>
  <c r="Y16" i="27" s="1"/>
  <c r="Y17" i="27" s="1"/>
  <c r="Y18" i="27" s="1"/>
  <c r="Y19" i="27" s="1"/>
  <c r="Y20" i="27" s="1"/>
  <c r="Y21" i="27" s="1"/>
  <c r="Y22" i="27" s="1"/>
  <c r="Y23" i="27" s="1"/>
  <c r="Y24" i="27" s="1"/>
  <c r="Y25" i="27" s="1"/>
  <c r="Y26" i="27" s="1"/>
  <c r="Y27" i="27" s="1"/>
  <c r="Y28" i="27" s="1"/>
  <c r="Y29" i="27" s="1"/>
  <c r="Y30" i="27" s="1"/>
  <c r="Y31" i="27" s="1"/>
  <c r="Y32" i="27" s="1"/>
  <c r="Y33" i="27" s="1"/>
  <c r="U4" i="27"/>
  <c r="U5" i="27" s="1"/>
  <c r="U6" i="27" s="1"/>
  <c r="U7" i="27" s="1"/>
  <c r="U8" i="27" s="1"/>
  <c r="U9" i="27" s="1"/>
  <c r="U10" i="27" s="1"/>
  <c r="U11" i="27" s="1"/>
  <c r="U12" i="27" s="1"/>
  <c r="U13" i="27" s="1"/>
  <c r="U14" i="27" s="1"/>
  <c r="U15" i="27" s="1"/>
  <c r="U16" i="27" s="1"/>
  <c r="U17" i="27" s="1"/>
  <c r="U18" i="27" s="1"/>
  <c r="U19" i="27" s="1"/>
  <c r="U20" i="27" s="1"/>
  <c r="U21" i="27" s="1"/>
  <c r="U22" i="27" s="1"/>
  <c r="U23" i="27" s="1"/>
  <c r="U24" i="27" s="1"/>
  <c r="U25" i="27" s="1"/>
  <c r="U26" i="27" s="1"/>
  <c r="U27" i="27" s="1"/>
  <c r="U28" i="27" s="1"/>
  <c r="U29" i="27" s="1"/>
  <c r="U30" i="27" s="1"/>
  <c r="U31" i="27" s="1"/>
  <c r="U32" i="27" s="1"/>
  <c r="Q4" i="27"/>
  <c r="Q5" i="27" s="1"/>
  <c r="Q6" i="27" s="1"/>
  <c r="Q7" i="27" s="1"/>
  <c r="Q8" i="27" s="1"/>
  <c r="Q9" i="27" s="1"/>
  <c r="Q10" i="27" s="1"/>
  <c r="Q11" i="27" s="1"/>
  <c r="Q12" i="27" s="1"/>
  <c r="Q13" i="27" s="1"/>
  <c r="Q14" i="27" s="1"/>
  <c r="Q15" i="27" s="1"/>
  <c r="Q16" i="27" s="1"/>
  <c r="Q17" i="27" s="1"/>
  <c r="Q18" i="27" s="1"/>
  <c r="Q19" i="27" s="1"/>
  <c r="Q20" i="27" s="1"/>
  <c r="Q21" i="27" s="1"/>
  <c r="Q22" i="27" s="1"/>
  <c r="Q23" i="27" s="1"/>
  <c r="Q24" i="27" s="1"/>
  <c r="Q25" i="27" s="1"/>
  <c r="Q26" i="27" s="1"/>
  <c r="Q27" i="27" s="1"/>
  <c r="Q28" i="27" s="1"/>
  <c r="Q29" i="27" s="1"/>
  <c r="Q30" i="27" s="1"/>
  <c r="Q31" i="27" s="1"/>
  <c r="Q32" i="27" s="1"/>
  <c r="Q33" i="27" s="1"/>
  <c r="M4" i="27"/>
  <c r="M5" i="27" s="1"/>
  <c r="M6" i="27" s="1"/>
  <c r="M7" i="27" s="1"/>
  <c r="M8" i="27" s="1"/>
  <c r="M9" i="27" s="1"/>
  <c r="M10" i="27" s="1"/>
  <c r="M11" i="27" s="1"/>
  <c r="M12" i="27" s="1"/>
  <c r="M13" i="27" s="1"/>
  <c r="M14" i="27" s="1"/>
  <c r="M15" i="27" s="1"/>
  <c r="M16" i="27" s="1"/>
  <c r="M17" i="27" s="1"/>
  <c r="M18" i="27" s="1"/>
  <c r="M19" i="27" s="1"/>
  <c r="M20" i="27" s="1"/>
  <c r="M21" i="27" s="1"/>
  <c r="M22" i="27" s="1"/>
  <c r="M23" i="27" s="1"/>
  <c r="M24" i="27" s="1"/>
  <c r="M25" i="27" s="1"/>
  <c r="M26" i="27" s="1"/>
  <c r="M27" i="27" s="1"/>
  <c r="M28" i="27" s="1"/>
  <c r="M29" i="27" s="1"/>
  <c r="M30" i="27" s="1"/>
  <c r="M31" i="27" s="1"/>
  <c r="M32" i="27" s="1"/>
  <c r="I4" i="27"/>
  <c r="I5" i="27" s="1"/>
  <c r="I6" i="27" s="1"/>
  <c r="I7" i="27" s="1"/>
  <c r="I8" i="27" s="1"/>
  <c r="I9" i="27" s="1"/>
  <c r="I10" i="27" s="1"/>
  <c r="I11" i="27" s="1"/>
  <c r="I12" i="27" s="1"/>
  <c r="I13" i="27" s="1"/>
  <c r="I14" i="27" s="1"/>
  <c r="I15" i="27" s="1"/>
  <c r="I16" i="27" s="1"/>
  <c r="I17" i="27" s="1"/>
  <c r="I18" i="27" s="1"/>
  <c r="I19" i="27" s="1"/>
  <c r="I20" i="27" s="1"/>
  <c r="I21" i="27" s="1"/>
  <c r="I22" i="27" s="1"/>
  <c r="I23" i="27" s="1"/>
  <c r="I24" i="27" s="1"/>
  <c r="I25" i="27" s="1"/>
  <c r="I26" i="27" s="1"/>
  <c r="I27" i="27" s="1"/>
  <c r="I28" i="27" s="1"/>
  <c r="I29" i="27" s="1"/>
  <c r="I30" i="27" s="1"/>
  <c r="I31" i="27" s="1"/>
  <c r="I32" i="27" s="1"/>
  <c r="I33" i="27" s="1"/>
  <c r="E4" i="27"/>
  <c r="E5" i="27" s="1"/>
  <c r="E6" i="27" s="1"/>
  <c r="E7" i="27" s="1"/>
  <c r="E8" i="27" s="1"/>
  <c r="E9" i="27" s="1"/>
  <c r="E10" i="27" s="1"/>
  <c r="E11" i="27" s="1"/>
  <c r="E12" i="27" s="1"/>
  <c r="E13" i="27" s="1"/>
  <c r="E14" i="27" s="1"/>
  <c r="E15" i="27" s="1"/>
  <c r="E16" i="27" s="1"/>
  <c r="E17" i="27" s="1"/>
  <c r="E18" i="27" s="1"/>
  <c r="E19" i="27" s="1"/>
  <c r="E20" i="27" s="1"/>
  <c r="E21" i="27" s="1"/>
  <c r="E22" i="27" s="1"/>
  <c r="E23" i="27" s="1"/>
  <c r="E24" i="27" s="1"/>
  <c r="E25" i="27" s="1"/>
  <c r="E26" i="27" s="1"/>
  <c r="E27" i="27" s="1"/>
  <c r="E28" i="27" s="1"/>
  <c r="E29" i="27" s="1"/>
  <c r="E30" i="27" s="1"/>
  <c r="A4" i="27"/>
  <c r="A5" i="27" s="1"/>
  <c r="A6" i="27" s="1"/>
  <c r="A7" i="27" s="1"/>
  <c r="A8" i="27" s="1"/>
  <c r="A9" i="27" s="1"/>
  <c r="A10" i="27" s="1"/>
  <c r="A11" i="27" s="1"/>
  <c r="A12" i="27" s="1"/>
  <c r="A13" i="27" s="1"/>
  <c r="A14" i="27" s="1"/>
  <c r="A15" i="27" s="1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26" i="27" s="1"/>
  <c r="A27" i="27" s="1"/>
  <c r="A28" i="27" s="1"/>
  <c r="A29" i="27" s="1"/>
  <c r="A30" i="27" s="1"/>
  <c r="A31" i="27" s="1"/>
  <c r="A32" i="27" s="1"/>
  <c r="A33" i="27" s="1"/>
  <c r="AR1" i="27" l="1"/>
  <c r="AU40" i="27"/>
  <c r="J40" i="27"/>
  <c r="T1" i="27"/>
  <c r="B42" i="27" s="1"/>
  <c r="AT39" i="27"/>
  <c r="AT40" i="27"/>
  <c r="AV40" i="27"/>
  <c r="AU39" i="27"/>
  <c r="AH40" i="27"/>
  <c r="K41" i="27"/>
  <c r="AB1" i="27"/>
  <c r="C42" i="27" s="1"/>
  <c r="AI39" i="27"/>
  <c r="AI40" i="27"/>
  <c r="AJ39" i="27"/>
  <c r="AJ40" i="27"/>
  <c r="V40" i="27"/>
  <c r="W40" i="27"/>
  <c r="AF41" i="27"/>
  <c r="L41" i="27"/>
  <c r="X40" i="27"/>
  <c r="AR41" i="27"/>
  <c r="X39" i="27"/>
  <c r="T38" i="27"/>
  <c r="AN1" i="27"/>
  <c r="AQ41" i="27"/>
  <c r="AL42" i="27"/>
  <c r="V41" i="27"/>
  <c r="W41" i="27"/>
  <c r="K40" i="27"/>
  <c r="C41" i="27"/>
  <c r="M1" i="27"/>
  <c r="R1" i="27"/>
  <c r="AP42" i="28" s="1"/>
  <c r="X41" i="27"/>
  <c r="D41" i="27"/>
  <c r="L40" i="27"/>
  <c r="H38" i="27"/>
  <c r="I1" i="27"/>
  <c r="AT42" i="28" s="1"/>
  <c r="AH41" i="27"/>
  <c r="AF1" i="27"/>
  <c r="AQ42" i="28" s="1"/>
  <c r="AU41" i="27"/>
  <c r="AJ1" i="27"/>
  <c r="N41" i="27"/>
  <c r="AI41" i="27"/>
  <c r="AT41" i="27"/>
  <c r="O41" i="27"/>
  <c r="Z41" i="27"/>
  <c r="AJ41" i="27"/>
  <c r="AV41" i="27"/>
  <c r="H41" i="27"/>
  <c r="AN41" i="27"/>
  <c r="AF38" i="27"/>
  <c r="V39" i="27"/>
  <c r="AV39" i="27"/>
  <c r="F41" i="27"/>
  <c r="P41" i="27"/>
  <c r="AA41" i="27"/>
  <c r="AL41" i="27"/>
  <c r="AM42" i="27"/>
  <c r="L38" i="27"/>
  <c r="AR38" i="27"/>
  <c r="W39" i="27"/>
  <c r="G41" i="27"/>
  <c r="R41" i="27"/>
  <c r="AB41" i="27"/>
  <c r="AM41" i="27"/>
  <c r="X38" i="27"/>
  <c r="S41" i="27"/>
  <c r="AD41" i="27"/>
  <c r="D38" i="27"/>
  <c r="AJ38" i="27"/>
  <c r="AH39" i="27"/>
  <c r="J41" i="27"/>
  <c r="AE41" i="27"/>
  <c r="AP41" i="27"/>
  <c r="P38" i="27"/>
  <c r="AV38" i="27"/>
  <c r="B35" i="27"/>
  <c r="F35" i="27" s="1"/>
  <c r="J35" i="27" s="1"/>
  <c r="N35" i="27" s="1"/>
  <c r="R35" i="27" s="1"/>
  <c r="V35" i="27" s="1"/>
  <c r="Z35" i="27" s="1"/>
  <c r="AD35" i="27" s="1"/>
  <c r="AH35" i="27" s="1"/>
  <c r="AL35" i="27" s="1"/>
  <c r="AP35" i="27" s="1"/>
  <c r="AT35" i="27" s="1"/>
  <c r="AB38" i="27"/>
  <c r="J39" i="27"/>
  <c r="B41" i="27"/>
  <c r="C35" i="27"/>
  <c r="G35" i="27" s="1"/>
  <c r="K35" i="27" s="1"/>
  <c r="O35" i="27" s="1"/>
  <c r="S35" i="27" s="1"/>
  <c r="W35" i="27" s="1"/>
  <c r="AA35" i="27" s="1"/>
  <c r="AE35" i="27" s="1"/>
  <c r="AI35" i="27" s="1"/>
  <c r="AM35" i="27" s="1"/>
  <c r="AQ35" i="27" s="1"/>
  <c r="AU35" i="27" s="1"/>
  <c r="AN38" i="27"/>
  <c r="K39" i="27"/>
  <c r="D35" i="27"/>
  <c r="H35" i="27" s="1"/>
  <c r="L35" i="27" s="1"/>
  <c r="P35" i="27" s="1"/>
  <c r="T35" i="27" s="1"/>
  <c r="X35" i="27" s="1"/>
  <c r="AB35" i="27" s="1"/>
  <c r="AF35" i="27" s="1"/>
  <c r="AJ35" i="27" s="1"/>
  <c r="AN35" i="27" s="1"/>
  <c r="AR35" i="27" s="1"/>
  <c r="AV35" i="27" s="1"/>
  <c r="AP43" i="28" s="1"/>
  <c r="L39" i="27"/>
  <c r="AU42" i="28" l="1"/>
  <c r="AU1" i="27"/>
  <c r="E1" i="27"/>
  <c r="B1" i="27"/>
  <c r="AT43" i="28" s="1"/>
  <c r="G43" i="27" l="1"/>
  <c r="K43" i="27" s="1"/>
  <c r="AU43" i="28"/>
  <c r="C43" i="27"/>
  <c r="AL43" i="27"/>
  <c r="AQ43" i="28" s="1"/>
  <c r="F43" i="27"/>
  <c r="B43" i="27"/>
  <c r="K42" i="27" l="1"/>
  <c r="J43" i="27"/>
  <c r="J42" i="27"/>
  <c r="M2" i="22" l="1"/>
  <c r="G11" i="10" l="1"/>
  <c r="H33" i="13" l="1"/>
  <c r="O7" i="1" l="1"/>
  <c r="I7" i="1"/>
  <c r="S28" i="13" l="1"/>
  <c r="I7" i="11"/>
  <c r="O28" i="1" l="1"/>
  <c r="I28" i="1"/>
  <c r="M12" i="22" l="1"/>
  <c r="M9" i="22" l="1"/>
  <c r="M15" i="22" l="1"/>
  <c r="B9" i="14" l="1"/>
  <c r="P12" i="15"/>
  <c r="M19" i="22" l="1"/>
  <c r="G42" i="26" l="1"/>
  <c r="F42" i="26"/>
  <c r="AV37" i="26"/>
  <c r="AU37" i="26"/>
  <c r="AT37" i="26"/>
  <c r="AR37" i="26"/>
  <c r="AQ37" i="26"/>
  <c r="AP37" i="26"/>
  <c r="AN37" i="26"/>
  <c r="AM37" i="26"/>
  <c r="AL37" i="26"/>
  <c r="AJ37" i="26"/>
  <c r="AI37" i="26"/>
  <c r="AH37" i="26"/>
  <c r="AF37" i="26"/>
  <c r="AE37" i="26"/>
  <c r="AD37" i="26"/>
  <c r="AB37" i="26"/>
  <c r="AA37" i="26"/>
  <c r="Z37" i="26"/>
  <c r="X37" i="26"/>
  <c r="W37" i="26"/>
  <c r="V37" i="26"/>
  <c r="T37" i="26"/>
  <c r="S37" i="26"/>
  <c r="R37" i="26"/>
  <c r="P37" i="26"/>
  <c r="O37" i="26"/>
  <c r="N37" i="26"/>
  <c r="L37" i="26"/>
  <c r="K37" i="26"/>
  <c r="J37" i="26"/>
  <c r="H37" i="26"/>
  <c r="G37" i="26"/>
  <c r="F37" i="26"/>
  <c r="D37" i="26"/>
  <c r="C37" i="26"/>
  <c r="B37" i="26"/>
  <c r="AV36" i="26"/>
  <c r="AU36" i="26"/>
  <c r="AT36" i="26"/>
  <c r="AR36" i="26"/>
  <c r="AQ36" i="26"/>
  <c r="AP36" i="26"/>
  <c r="AN36" i="26"/>
  <c r="AM36" i="26"/>
  <c r="AL36" i="26"/>
  <c r="AJ36" i="26"/>
  <c r="AI36" i="26"/>
  <c r="AH36" i="26"/>
  <c r="AF36" i="26"/>
  <c r="AE36" i="26"/>
  <c r="AD36" i="26"/>
  <c r="AB36" i="26"/>
  <c r="AA36" i="26"/>
  <c r="Z36" i="26"/>
  <c r="X36" i="26"/>
  <c r="W36" i="26"/>
  <c r="V36" i="26"/>
  <c r="T36" i="26"/>
  <c r="S36" i="26"/>
  <c r="R36" i="26"/>
  <c r="P36" i="26"/>
  <c r="O36" i="26"/>
  <c r="N36" i="26"/>
  <c r="L36" i="26"/>
  <c r="K36" i="26"/>
  <c r="J36" i="26"/>
  <c r="H36" i="26"/>
  <c r="G36" i="26"/>
  <c r="F36" i="26"/>
  <c r="D36" i="26"/>
  <c r="C36" i="26"/>
  <c r="B36" i="26"/>
  <c r="AV34" i="26"/>
  <c r="AU34" i="26"/>
  <c r="AU38" i="27" s="1"/>
  <c r="AT34" i="26"/>
  <c r="AT38" i="27" s="1"/>
  <c r="AR34" i="26"/>
  <c r="AQ34" i="26"/>
  <c r="AP34" i="26"/>
  <c r="AN34" i="26"/>
  <c r="AM34" i="26"/>
  <c r="AL34" i="26"/>
  <c r="AJ34" i="26"/>
  <c r="AI34" i="26"/>
  <c r="AH34" i="26"/>
  <c r="AF34" i="26"/>
  <c r="AE34" i="26"/>
  <c r="AD34" i="26"/>
  <c r="AB34" i="26"/>
  <c r="AA34" i="26"/>
  <c r="Z34" i="26"/>
  <c r="X34" i="26"/>
  <c r="W34" i="26"/>
  <c r="V34" i="26"/>
  <c r="T34" i="26"/>
  <c r="S34" i="26"/>
  <c r="R34" i="26"/>
  <c r="R38" i="27" s="1"/>
  <c r="P34" i="26"/>
  <c r="O34" i="26"/>
  <c r="N34" i="26"/>
  <c r="L34" i="26"/>
  <c r="K34" i="26"/>
  <c r="J34" i="26"/>
  <c r="H34" i="26"/>
  <c r="G34" i="26"/>
  <c r="F34" i="26"/>
  <c r="D34" i="26"/>
  <c r="C34" i="26"/>
  <c r="B34" i="26"/>
  <c r="AO5" i="26"/>
  <c r="AO6" i="26" s="1"/>
  <c r="AO7" i="26" s="1"/>
  <c r="AO8" i="26" s="1"/>
  <c r="AO9" i="26" s="1"/>
  <c r="AO10" i="26" s="1"/>
  <c r="AO11" i="26" s="1"/>
  <c r="AO12" i="26" s="1"/>
  <c r="AO13" i="26" s="1"/>
  <c r="AO14" i="26" s="1"/>
  <c r="AO15" i="26" s="1"/>
  <c r="AO16" i="26" s="1"/>
  <c r="AO17" i="26" s="1"/>
  <c r="AO18" i="26" s="1"/>
  <c r="AO19" i="26" s="1"/>
  <c r="AO20" i="26" s="1"/>
  <c r="AO21" i="26" s="1"/>
  <c r="AO22" i="26" s="1"/>
  <c r="AO23" i="26" s="1"/>
  <c r="AO24" i="26" s="1"/>
  <c r="AO25" i="26" s="1"/>
  <c r="AO26" i="26" s="1"/>
  <c r="AO27" i="26" s="1"/>
  <c r="AO28" i="26" s="1"/>
  <c r="AO29" i="26" s="1"/>
  <c r="AO30" i="26" s="1"/>
  <c r="AO31" i="26" s="1"/>
  <c r="AO32" i="26" s="1"/>
  <c r="AS4" i="26"/>
  <c r="AS5" i="26" s="1"/>
  <c r="AS6" i="26" s="1"/>
  <c r="AS7" i="26" s="1"/>
  <c r="AS8" i="26" s="1"/>
  <c r="AS9" i="26" s="1"/>
  <c r="AS10" i="26" s="1"/>
  <c r="AS11" i="26" s="1"/>
  <c r="AS12" i="26" s="1"/>
  <c r="AS13" i="26" s="1"/>
  <c r="AS14" i="26" s="1"/>
  <c r="AS15" i="26" s="1"/>
  <c r="AS16" i="26" s="1"/>
  <c r="AS17" i="26" s="1"/>
  <c r="AS18" i="26" s="1"/>
  <c r="AS19" i="26" s="1"/>
  <c r="AS20" i="26" s="1"/>
  <c r="AS21" i="26" s="1"/>
  <c r="AS22" i="26" s="1"/>
  <c r="AS23" i="26" s="1"/>
  <c r="AS24" i="26" s="1"/>
  <c r="AS25" i="26" s="1"/>
  <c r="AS26" i="26" s="1"/>
  <c r="AS27" i="26" s="1"/>
  <c r="AS28" i="26" s="1"/>
  <c r="AS29" i="26" s="1"/>
  <c r="AS30" i="26" s="1"/>
  <c r="AS31" i="26" s="1"/>
  <c r="AS32" i="26" s="1"/>
  <c r="AS33" i="26" s="1"/>
  <c r="AO4" i="26"/>
  <c r="AK4" i="26"/>
  <c r="AK5" i="26" s="1"/>
  <c r="AK6" i="26" s="1"/>
  <c r="AK7" i="26" s="1"/>
  <c r="AK8" i="26" s="1"/>
  <c r="AK9" i="26" s="1"/>
  <c r="AK10" i="26" s="1"/>
  <c r="AK11" i="26" s="1"/>
  <c r="AK12" i="26" s="1"/>
  <c r="AK13" i="26" s="1"/>
  <c r="AK14" i="26" s="1"/>
  <c r="AK15" i="26" s="1"/>
  <c r="AK16" i="26" s="1"/>
  <c r="AK17" i="26" s="1"/>
  <c r="AK18" i="26" s="1"/>
  <c r="AK19" i="26" s="1"/>
  <c r="AK20" i="26" s="1"/>
  <c r="AK21" i="26" s="1"/>
  <c r="AK22" i="26" s="1"/>
  <c r="AK23" i="26" s="1"/>
  <c r="AK24" i="26" s="1"/>
  <c r="AK25" i="26" s="1"/>
  <c r="AK26" i="26" s="1"/>
  <c r="AK27" i="26" s="1"/>
  <c r="AK28" i="26" s="1"/>
  <c r="AK29" i="26" s="1"/>
  <c r="AK30" i="26" s="1"/>
  <c r="AK31" i="26" s="1"/>
  <c r="AK32" i="26" s="1"/>
  <c r="AK33" i="26" s="1"/>
  <c r="AG4" i="26"/>
  <c r="AG5" i="26" s="1"/>
  <c r="AG6" i="26" s="1"/>
  <c r="AG7" i="26" s="1"/>
  <c r="AG8" i="26" s="1"/>
  <c r="AG9" i="26" s="1"/>
  <c r="AG10" i="26" s="1"/>
  <c r="AG11" i="26" s="1"/>
  <c r="AG12" i="26" s="1"/>
  <c r="AG13" i="26" s="1"/>
  <c r="AG14" i="26" s="1"/>
  <c r="AG15" i="26" s="1"/>
  <c r="AG16" i="26" s="1"/>
  <c r="AG17" i="26" s="1"/>
  <c r="AG18" i="26" s="1"/>
  <c r="AG19" i="26" s="1"/>
  <c r="AG20" i="26" s="1"/>
  <c r="AG21" i="26" s="1"/>
  <c r="AG22" i="26" s="1"/>
  <c r="AG23" i="26" s="1"/>
  <c r="AG24" i="26" s="1"/>
  <c r="AG25" i="26" s="1"/>
  <c r="AG26" i="26" s="1"/>
  <c r="AG27" i="26" s="1"/>
  <c r="AG28" i="26" s="1"/>
  <c r="AG29" i="26" s="1"/>
  <c r="AG30" i="26" s="1"/>
  <c r="AG31" i="26" s="1"/>
  <c r="AG32" i="26" s="1"/>
  <c r="AC4" i="26"/>
  <c r="AC5" i="26" s="1"/>
  <c r="AC6" i="26" s="1"/>
  <c r="AC7" i="26" s="1"/>
  <c r="AC8" i="26" s="1"/>
  <c r="AC9" i="26" s="1"/>
  <c r="AC10" i="26" s="1"/>
  <c r="AC11" i="26" s="1"/>
  <c r="AC12" i="26" s="1"/>
  <c r="AC13" i="26" s="1"/>
  <c r="AC14" i="26" s="1"/>
  <c r="AC15" i="26" s="1"/>
  <c r="AC16" i="26" s="1"/>
  <c r="AC17" i="26" s="1"/>
  <c r="AC18" i="26" s="1"/>
  <c r="AC19" i="26" s="1"/>
  <c r="AC20" i="26" s="1"/>
  <c r="AC21" i="26" s="1"/>
  <c r="AC22" i="26" s="1"/>
  <c r="AC23" i="26" s="1"/>
  <c r="AC24" i="26" s="1"/>
  <c r="AC25" i="26" s="1"/>
  <c r="AC26" i="26" s="1"/>
  <c r="AC27" i="26" s="1"/>
  <c r="AC28" i="26" s="1"/>
  <c r="AC29" i="26" s="1"/>
  <c r="AC30" i="26" s="1"/>
  <c r="AC31" i="26" s="1"/>
  <c r="AC32" i="26" s="1"/>
  <c r="AC33" i="26" s="1"/>
  <c r="Y4" i="26"/>
  <c r="Y5" i="26" s="1"/>
  <c r="Y6" i="26" s="1"/>
  <c r="Y7" i="26" s="1"/>
  <c r="Y8" i="26" s="1"/>
  <c r="Y9" i="26" s="1"/>
  <c r="Y10" i="26" s="1"/>
  <c r="Y11" i="26" s="1"/>
  <c r="Y12" i="26" s="1"/>
  <c r="Y13" i="26" s="1"/>
  <c r="Y14" i="26" s="1"/>
  <c r="Y15" i="26" s="1"/>
  <c r="Y16" i="26" s="1"/>
  <c r="Y17" i="26" s="1"/>
  <c r="Y18" i="26" s="1"/>
  <c r="Y19" i="26" s="1"/>
  <c r="Y20" i="26" s="1"/>
  <c r="Y21" i="26" s="1"/>
  <c r="Y22" i="26" s="1"/>
  <c r="Y23" i="26" s="1"/>
  <c r="Y24" i="26" s="1"/>
  <c r="Y25" i="26" s="1"/>
  <c r="Y26" i="26" s="1"/>
  <c r="Y27" i="26" s="1"/>
  <c r="Y28" i="26" s="1"/>
  <c r="Y29" i="26" s="1"/>
  <c r="Y30" i="26" s="1"/>
  <c r="Y31" i="26" s="1"/>
  <c r="Y32" i="26" s="1"/>
  <c r="Y33" i="26" s="1"/>
  <c r="U4" i="26"/>
  <c r="U5" i="26" s="1"/>
  <c r="U6" i="26" s="1"/>
  <c r="U7" i="26" s="1"/>
  <c r="U8" i="26" s="1"/>
  <c r="U9" i="26" s="1"/>
  <c r="U10" i="26" s="1"/>
  <c r="U11" i="26" s="1"/>
  <c r="U12" i="26" s="1"/>
  <c r="U13" i="26" s="1"/>
  <c r="U14" i="26" s="1"/>
  <c r="U15" i="26" s="1"/>
  <c r="U16" i="26" s="1"/>
  <c r="U17" i="26" s="1"/>
  <c r="U18" i="26" s="1"/>
  <c r="U19" i="26" s="1"/>
  <c r="U20" i="26" s="1"/>
  <c r="U21" i="26" s="1"/>
  <c r="U22" i="26" s="1"/>
  <c r="U23" i="26" s="1"/>
  <c r="U24" i="26" s="1"/>
  <c r="U25" i="26" s="1"/>
  <c r="U26" i="26" s="1"/>
  <c r="U27" i="26" s="1"/>
  <c r="U28" i="26" s="1"/>
  <c r="U29" i="26" s="1"/>
  <c r="U30" i="26" s="1"/>
  <c r="U31" i="26" s="1"/>
  <c r="U32" i="26" s="1"/>
  <c r="Q4" i="26"/>
  <c r="Q5" i="26" s="1"/>
  <c r="Q6" i="26" s="1"/>
  <c r="Q7" i="26" s="1"/>
  <c r="Q8" i="26" s="1"/>
  <c r="Q9" i="26" s="1"/>
  <c r="Q10" i="26" s="1"/>
  <c r="Q11" i="26" s="1"/>
  <c r="Q12" i="26" s="1"/>
  <c r="Q13" i="26" s="1"/>
  <c r="Q14" i="26" s="1"/>
  <c r="Q15" i="26" s="1"/>
  <c r="Q16" i="26" s="1"/>
  <c r="Q17" i="26" s="1"/>
  <c r="Q18" i="26" s="1"/>
  <c r="Q19" i="26" s="1"/>
  <c r="Q20" i="26" s="1"/>
  <c r="Q21" i="26" s="1"/>
  <c r="Q22" i="26" s="1"/>
  <c r="Q23" i="26" s="1"/>
  <c r="Q24" i="26" s="1"/>
  <c r="Q25" i="26" s="1"/>
  <c r="Q26" i="26" s="1"/>
  <c r="Q27" i="26" s="1"/>
  <c r="Q28" i="26" s="1"/>
  <c r="Q29" i="26" s="1"/>
  <c r="Q30" i="26" s="1"/>
  <c r="Q31" i="26" s="1"/>
  <c r="Q32" i="26" s="1"/>
  <c r="Q33" i="26" s="1"/>
  <c r="M4" i="26"/>
  <c r="M5" i="26" s="1"/>
  <c r="M6" i="26" s="1"/>
  <c r="M7" i="26" s="1"/>
  <c r="M8" i="26" s="1"/>
  <c r="M9" i="26" s="1"/>
  <c r="M10" i="26" s="1"/>
  <c r="M11" i="26" s="1"/>
  <c r="M12" i="26" s="1"/>
  <c r="M13" i="26" s="1"/>
  <c r="M14" i="26" s="1"/>
  <c r="M15" i="26" s="1"/>
  <c r="M16" i="26" s="1"/>
  <c r="M17" i="26" s="1"/>
  <c r="M18" i="26" s="1"/>
  <c r="M19" i="26" s="1"/>
  <c r="M20" i="26" s="1"/>
  <c r="M21" i="26" s="1"/>
  <c r="M22" i="26" s="1"/>
  <c r="M23" i="26" s="1"/>
  <c r="M24" i="26" s="1"/>
  <c r="M25" i="26" s="1"/>
  <c r="M26" i="26" s="1"/>
  <c r="M27" i="26" s="1"/>
  <c r="M28" i="26" s="1"/>
  <c r="M29" i="26" s="1"/>
  <c r="M30" i="26" s="1"/>
  <c r="M31" i="26" s="1"/>
  <c r="M32" i="26" s="1"/>
  <c r="I4" i="26"/>
  <c r="I5" i="26" s="1"/>
  <c r="I6" i="26" s="1"/>
  <c r="I7" i="26" s="1"/>
  <c r="I8" i="26" s="1"/>
  <c r="I9" i="26" s="1"/>
  <c r="I10" i="26" s="1"/>
  <c r="I11" i="26" s="1"/>
  <c r="I12" i="26" s="1"/>
  <c r="I13" i="26" s="1"/>
  <c r="I14" i="26" s="1"/>
  <c r="I15" i="26" s="1"/>
  <c r="I16" i="26" s="1"/>
  <c r="I17" i="26" s="1"/>
  <c r="I18" i="26" s="1"/>
  <c r="I19" i="26" s="1"/>
  <c r="I20" i="26" s="1"/>
  <c r="I21" i="26" s="1"/>
  <c r="I22" i="26" s="1"/>
  <c r="I23" i="26" s="1"/>
  <c r="I24" i="26" s="1"/>
  <c r="I25" i="26" s="1"/>
  <c r="I26" i="26" s="1"/>
  <c r="I27" i="26" s="1"/>
  <c r="I28" i="26" s="1"/>
  <c r="I29" i="26" s="1"/>
  <c r="I30" i="26" s="1"/>
  <c r="I31" i="26" s="1"/>
  <c r="I32" i="26" s="1"/>
  <c r="I33" i="26" s="1"/>
  <c r="E4" i="26"/>
  <c r="E5" i="26" s="1"/>
  <c r="E6" i="26" s="1"/>
  <c r="E7" i="26" s="1"/>
  <c r="E8" i="26" s="1"/>
  <c r="E9" i="26" s="1"/>
  <c r="E10" i="26" s="1"/>
  <c r="E11" i="26" s="1"/>
  <c r="E12" i="26" s="1"/>
  <c r="E13" i="26" s="1"/>
  <c r="E14" i="26" s="1"/>
  <c r="E15" i="26" s="1"/>
  <c r="E16" i="26" s="1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A4" i="26"/>
  <c r="A5" i="26" s="1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A32" i="26" s="1"/>
  <c r="A33" i="26" s="1"/>
  <c r="J38" i="27" l="1"/>
  <c r="AE38" i="27"/>
  <c r="AP38" i="27"/>
  <c r="K38" i="27"/>
  <c r="V38" i="27"/>
  <c r="AQ38" i="27"/>
  <c r="B38" i="27"/>
  <c r="W38" i="27"/>
  <c r="AH38" i="27"/>
  <c r="C38" i="27"/>
  <c r="N38" i="27"/>
  <c r="AI38" i="27"/>
  <c r="O38" i="27"/>
  <c r="Z38" i="27"/>
  <c r="F38" i="27"/>
  <c r="AA38" i="27"/>
  <c r="AL38" i="27"/>
  <c r="G38" i="27"/>
  <c r="AM38" i="27"/>
  <c r="S38" i="27"/>
  <c r="AD38" i="27"/>
  <c r="T38" i="26"/>
  <c r="AJ38" i="26"/>
  <c r="AV39" i="26"/>
  <c r="J40" i="26"/>
  <c r="AV38" i="26"/>
  <c r="R1" i="26"/>
  <c r="AP42" i="27" s="1"/>
  <c r="AT39" i="26"/>
  <c r="AT40" i="26"/>
  <c r="AV40" i="26"/>
  <c r="AU40" i="26"/>
  <c r="AH40" i="26"/>
  <c r="AI39" i="26"/>
  <c r="AI40" i="26"/>
  <c r="AJ40" i="26"/>
  <c r="W40" i="26"/>
  <c r="AJ1" i="26"/>
  <c r="X40" i="26"/>
  <c r="P38" i="26"/>
  <c r="V40" i="26"/>
  <c r="T41" i="26"/>
  <c r="L40" i="26"/>
  <c r="AN1" i="26"/>
  <c r="AU42" i="27" s="1"/>
  <c r="AP41" i="26"/>
  <c r="AF41" i="26"/>
  <c r="L41" i="26"/>
  <c r="L38" i="26"/>
  <c r="AH41" i="26"/>
  <c r="F41" i="26"/>
  <c r="AV41" i="26"/>
  <c r="C41" i="26"/>
  <c r="N41" i="26"/>
  <c r="X41" i="26"/>
  <c r="AI41" i="26"/>
  <c r="AT41" i="26"/>
  <c r="I1" i="26"/>
  <c r="AT42" i="27" s="1"/>
  <c r="AB1" i="26"/>
  <c r="C42" i="26" s="1"/>
  <c r="D38" i="26"/>
  <c r="J41" i="26"/>
  <c r="K41" i="26"/>
  <c r="AM41" i="26"/>
  <c r="G41" i="26"/>
  <c r="AJ41" i="26"/>
  <c r="P41" i="26"/>
  <c r="AM42" i="26"/>
  <c r="AJ39" i="26"/>
  <c r="AU39" i="26"/>
  <c r="AA41" i="26"/>
  <c r="AQ41" i="26"/>
  <c r="O41" i="26"/>
  <c r="W39" i="26"/>
  <c r="AU41" i="26"/>
  <c r="H41" i="26"/>
  <c r="AN41" i="26"/>
  <c r="AE41" i="26"/>
  <c r="V41" i="26"/>
  <c r="X38" i="26"/>
  <c r="AL42" i="26"/>
  <c r="M1" i="26"/>
  <c r="B41" i="26"/>
  <c r="J39" i="26"/>
  <c r="B35" i="26"/>
  <c r="F35" i="26" s="1"/>
  <c r="J35" i="26" s="1"/>
  <c r="N35" i="26" s="1"/>
  <c r="R35" i="26" s="1"/>
  <c r="V35" i="26" s="1"/>
  <c r="Z35" i="26" s="1"/>
  <c r="AD35" i="26" s="1"/>
  <c r="AH35" i="26" s="1"/>
  <c r="AL35" i="26" s="1"/>
  <c r="AP35" i="26" s="1"/>
  <c r="AT35" i="26" s="1"/>
  <c r="R41" i="26"/>
  <c r="W41" i="26"/>
  <c r="AR41" i="26"/>
  <c r="AR38" i="26"/>
  <c r="D41" i="26"/>
  <c r="L39" i="26"/>
  <c r="D35" i="26"/>
  <c r="H35" i="26" s="1"/>
  <c r="L35" i="26" s="1"/>
  <c r="P35" i="26" s="1"/>
  <c r="T35" i="26" s="1"/>
  <c r="X35" i="26" s="1"/>
  <c r="AB35" i="26" s="1"/>
  <c r="AF35" i="26" s="1"/>
  <c r="AJ35" i="26" s="1"/>
  <c r="AN35" i="26" s="1"/>
  <c r="AR35" i="26" s="1"/>
  <c r="AV35" i="26" s="1"/>
  <c r="AB41" i="26"/>
  <c r="Z41" i="26"/>
  <c r="AB38" i="26"/>
  <c r="V39" i="26"/>
  <c r="AR1" i="26"/>
  <c r="AH39" i="26"/>
  <c r="T1" i="26"/>
  <c r="B42" i="26" s="1"/>
  <c r="AF1" i="26"/>
  <c r="AQ42" i="27" s="1"/>
  <c r="K40" i="26"/>
  <c r="AF38" i="26"/>
  <c r="AL41" i="26"/>
  <c r="X39" i="26"/>
  <c r="S41" i="26"/>
  <c r="AD41" i="26"/>
  <c r="C35" i="26"/>
  <c r="G35" i="26" s="1"/>
  <c r="K35" i="26" s="1"/>
  <c r="O35" i="26" s="1"/>
  <c r="S35" i="26" s="1"/>
  <c r="W35" i="26" s="1"/>
  <c r="AA35" i="26" s="1"/>
  <c r="AE35" i="26" s="1"/>
  <c r="AI35" i="26" s="1"/>
  <c r="AM35" i="26" s="1"/>
  <c r="AQ35" i="26" s="1"/>
  <c r="AU35" i="26" s="1"/>
  <c r="AU1" i="26" s="1"/>
  <c r="AU43" i="27" s="1"/>
  <c r="H38" i="26"/>
  <c r="AN38" i="26"/>
  <c r="K39" i="26"/>
  <c r="AP43" i="27" l="1"/>
  <c r="E1" i="26"/>
  <c r="B1" i="26"/>
  <c r="AT43" i="27" s="1"/>
  <c r="C43" i="26"/>
  <c r="G43" i="26"/>
  <c r="AL43" i="26" l="1"/>
  <c r="AQ43" i="27" s="1"/>
  <c r="K43" i="26"/>
  <c r="K42" i="26"/>
  <c r="F43" i="26"/>
  <c r="B43" i="26"/>
  <c r="J43" i="26" l="1"/>
  <c r="J42" i="26"/>
  <c r="G20" i="10"/>
  <c r="M21" i="22" l="1"/>
  <c r="M29" i="22" l="1"/>
  <c r="B8" i="14" l="1"/>
  <c r="B7" i="14"/>
  <c r="B4" i="14"/>
  <c r="B3" i="14"/>
  <c r="B6" i="14"/>
  <c r="B2" i="14"/>
  <c r="B5" i="14"/>
  <c r="P9" i="15" l="1"/>
  <c r="P10" i="15"/>
  <c r="P20" i="15"/>
  <c r="P21" i="15"/>
  <c r="P27" i="15"/>
  <c r="P14" i="15"/>
  <c r="P26" i="15"/>
  <c r="P15" i="15"/>
  <c r="P22" i="15"/>
  <c r="P24" i="15"/>
  <c r="P2" i="15"/>
  <c r="P3" i="15"/>
  <c r="P5" i="15"/>
  <c r="P6" i="15"/>
  <c r="P7" i="15"/>
  <c r="P11" i="15"/>
  <c r="P13" i="15"/>
  <c r="P16" i="15"/>
  <c r="P17" i="15"/>
  <c r="P19" i="15"/>
  <c r="P23" i="15"/>
  <c r="P8" i="15"/>
  <c r="O39" i="1" l="1"/>
  <c r="I39" i="1"/>
  <c r="O13" i="1" l="1"/>
  <c r="I13" i="1"/>
  <c r="M5" i="22" l="1"/>
  <c r="M7" i="22" l="1"/>
  <c r="I37" i="11" l="1"/>
  <c r="M11" i="22" l="1"/>
  <c r="G30" i="10" l="1"/>
  <c r="H76" i="5" l="1"/>
  <c r="G76" i="5"/>
  <c r="F76" i="5"/>
  <c r="E76" i="5"/>
  <c r="D76" i="5"/>
  <c r="C76" i="5"/>
  <c r="B76" i="5"/>
  <c r="M23" i="22" l="1"/>
  <c r="G9" i="10" l="1"/>
  <c r="G14" i="10" l="1"/>
  <c r="G23" i="10" l="1"/>
  <c r="G18" i="10"/>
  <c r="O5" i="1" l="1"/>
  <c r="I5" i="1"/>
  <c r="I8" i="11" l="1"/>
  <c r="G32" i="10" l="1"/>
  <c r="Q3" i="21" l="1"/>
  <c r="Q4" i="21"/>
  <c r="Q5" i="21"/>
  <c r="Q6" i="21"/>
  <c r="Q7" i="21"/>
  <c r="Q8" i="21"/>
  <c r="Q9" i="21"/>
  <c r="Q10" i="21"/>
  <c r="Q11" i="21"/>
  <c r="Q12" i="21"/>
  <c r="Q14" i="21"/>
  <c r="Q13" i="21"/>
  <c r="Q15" i="21"/>
  <c r="Q16" i="21"/>
  <c r="Q17" i="21"/>
  <c r="Q18" i="21"/>
  <c r="Q20" i="21"/>
  <c r="Q19" i="21"/>
  <c r="Q21" i="21"/>
  <c r="Q22" i="21"/>
  <c r="Q23" i="21"/>
  <c r="Q24" i="21"/>
  <c r="Q25" i="21"/>
  <c r="Q26" i="21"/>
  <c r="Q27" i="21"/>
  <c r="Q28" i="21"/>
  <c r="Q2" i="21"/>
  <c r="U3" i="21"/>
  <c r="U4" i="21"/>
  <c r="U5" i="21"/>
  <c r="U6" i="21"/>
  <c r="U7" i="21"/>
  <c r="U8" i="21"/>
  <c r="U9" i="21"/>
  <c r="U10" i="21"/>
  <c r="U11" i="21"/>
  <c r="U12" i="21"/>
  <c r="U14" i="21"/>
  <c r="U13" i="21"/>
  <c r="U15" i="21"/>
  <c r="U16" i="21"/>
  <c r="U17" i="21"/>
  <c r="U18" i="21"/>
  <c r="U20" i="21"/>
  <c r="U19" i="21"/>
  <c r="U21" i="21"/>
  <c r="U22" i="21"/>
  <c r="U23" i="21"/>
  <c r="U24" i="21"/>
  <c r="U25" i="21"/>
  <c r="U26" i="21"/>
  <c r="U27" i="21"/>
  <c r="U28" i="21"/>
  <c r="U2" i="21"/>
  <c r="J25" i="21"/>
  <c r="S25" i="21"/>
  <c r="H25" i="21"/>
  <c r="L25" i="21"/>
  <c r="R25" i="21"/>
  <c r="K25" i="21" l="1"/>
  <c r="G19" i="10"/>
  <c r="G27" i="10" l="1"/>
  <c r="G34" i="10"/>
  <c r="G16" i="10" l="1"/>
  <c r="G25" i="10"/>
  <c r="C29" i="13" l="1"/>
  <c r="G42" i="23" l="1"/>
  <c r="F42" i="23"/>
  <c r="AV37" i="23"/>
  <c r="AU37" i="23"/>
  <c r="AT37" i="23"/>
  <c r="AR37" i="23"/>
  <c r="AQ37" i="23"/>
  <c r="AP37" i="23"/>
  <c r="AN37" i="23"/>
  <c r="AM37" i="23"/>
  <c r="AL37" i="23"/>
  <c r="AJ37" i="23"/>
  <c r="AI37" i="23"/>
  <c r="AH37" i="23"/>
  <c r="AF37" i="23"/>
  <c r="AE37" i="23"/>
  <c r="AD37" i="23"/>
  <c r="AB37" i="23"/>
  <c r="AA37" i="23"/>
  <c r="Z37" i="23"/>
  <c r="X37" i="23"/>
  <c r="W37" i="23"/>
  <c r="V37" i="23"/>
  <c r="T37" i="23"/>
  <c r="S37" i="23"/>
  <c r="R37" i="23"/>
  <c r="P37" i="23"/>
  <c r="O37" i="23"/>
  <c r="N37" i="23"/>
  <c r="L37" i="23"/>
  <c r="K37" i="23"/>
  <c r="J37" i="23"/>
  <c r="H37" i="23"/>
  <c r="G37" i="23"/>
  <c r="F37" i="23"/>
  <c r="D37" i="23"/>
  <c r="C37" i="23"/>
  <c r="B37" i="23"/>
  <c r="AV36" i="23"/>
  <c r="AU36" i="23"/>
  <c r="AT36" i="23"/>
  <c r="AR36" i="23"/>
  <c r="AQ36" i="23"/>
  <c r="AP36" i="23"/>
  <c r="AN36" i="23"/>
  <c r="AM36" i="23"/>
  <c r="AL36" i="23"/>
  <c r="AJ36" i="23"/>
  <c r="AI36" i="23"/>
  <c r="AH36" i="23"/>
  <c r="AF36" i="23"/>
  <c r="AE36" i="23"/>
  <c r="AD36" i="23"/>
  <c r="AB36" i="23"/>
  <c r="AA36" i="23"/>
  <c r="Z36" i="23"/>
  <c r="X36" i="23"/>
  <c r="W36" i="23"/>
  <c r="V36" i="23"/>
  <c r="T36" i="23"/>
  <c r="S36" i="23"/>
  <c r="R36" i="23"/>
  <c r="P36" i="23"/>
  <c r="O36" i="23"/>
  <c r="N36" i="23"/>
  <c r="L36" i="23"/>
  <c r="K36" i="23"/>
  <c r="J36" i="23"/>
  <c r="H36" i="23"/>
  <c r="G36" i="23"/>
  <c r="F36" i="23"/>
  <c r="D36" i="23"/>
  <c r="C36" i="23"/>
  <c r="B36" i="23"/>
  <c r="AV34" i="23"/>
  <c r="AU34" i="23"/>
  <c r="AT34" i="23"/>
  <c r="AR34" i="23"/>
  <c r="AQ34" i="23"/>
  <c r="AQ38" i="26" s="1"/>
  <c r="AP34" i="23"/>
  <c r="AP38" i="26" s="1"/>
  <c r="AN34" i="23"/>
  <c r="AM34" i="23"/>
  <c r="AM38" i="26" s="1"/>
  <c r="AL34" i="23"/>
  <c r="AL38" i="26" s="1"/>
  <c r="AJ34" i="23"/>
  <c r="AI34" i="23"/>
  <c r="AI38" i="26" s="1"/>
  <c r="AH34" i="23"/>
  <c r="AH38" i="26" s="1"/>
  <c r="AF34" i="23"/>
  <c r="AE34" i="23"/>
  <c r="AE38" i="26" s="1"/>
  <c r="AD34" i="23"/>
  <c r="AD38" i="26" s="1"/>
  <c r="AB34" i="23"/>
  <c r="AA34" i="23"/>
  <c r="AA38" i="26" s="1"/>
  <c r="Z34" i="23"/>
  <c r="Z38" i="26" s="1"/>
  <c r="X34" i="23"/>
  <c r="W34" i="23"/>
  <c r="W38" i="26" s="1"/>
  <c r="V34" i="23"/>
  <c r="V38" i="26" s="1"/>
  <c r="T34" i="23"/>
  <c r="S34" i="23"/>
  <c r="S38" i="26" s="1"/>
  <c r="R34" i="23"/>
  <c r="R38" i="26" s="1"/>
  <c r="P34" i="23"/>
  <c r="O34" i="23"/>
  <c r="O38" i="26" s="1"/>
  <c r="N34" i="23"/>
  <c r="N38" i="26" s="1"/>
  <c r="L34" i="23"/>
  <c r="K34" i="23"/>
  <c r="K38" i="26" s="1"/>
  <c r="J34" i="23"/>
  <c r="J38" i="26" s="1"/>
  <c r="H34" i="23"/>
  <c r="G34" i="23"/>
  <c r="G38" i="26" s="1"/>
  <c r="F34" i="23"/>
  <c r="F38" i="26" s="1"/>
  <c r="D34" i="23"/>
  <c r="C34" i="23"/>
  <c r="C38" i="26" s="1"/>
  <c r="B34" i="23"/>
  <c r="B38" i="26" s="1"/>
  <c r="AO5" i="23"/>
  <c r="AO6" i="23" s="1"/>
  <c r="AO7" i="23" s="1"/>
  <c r="AO8" i="23" s="1"/>
  <c r="AO9" i="23" s="1"/>
  <c r="AO10" i="23" s="1"/>
  <c r="AO11" i="23" s="1"/>
  <c r="AO12" i="23" s="1"/>
  <c r="AO13" i="23" s="1"/>
  <c r="AO14" i="23" s="1"/>
  <c r="AO15" i="23" s="1"/>
  <c r="AO16" i="23" s="1"/>
  <c r="AO17" i="23" s="1"/>
  <c r="AO18" i="23" s="1"/>
  <c r="AO19" i="23" s="1"/>
  <c r="AO20" i="23" s="1"/>
  <c r="AO21" i="23" s="1"/>
  <c r="AO22" i="23" s="1"/>
  <c r="AO23" i="23" s="1"/>
  <c r="AO24" i="23" s="1"/>
  <c r="AO25" i="23" s="1"/>
  <c r="AO26" i="23" s="1"/>
  <c r="AO27" i="23" s="1"/>
  <c r="AO28" i="23" s="1"/>
  <c r="AO29" i="23" s="1"/>
  <c r="AO30" i="23" s="1"/>
  <c r="AO31" i="23" s="1"/>
  <c r="AO32" i="23" s="1"/>
  <c r="AS4" i="23"/>
  <c r="AS5" i="23" s="1"/>
  <c r="AS6" i="23" s="1"/>
  <c r="AS7" i="23" s="1"/>
  <c r="AS8" i="23" s="1"/>
  <c r="AS9" i="23" s="1"/>
  <c r="AS10" i="23" s="1"/>
  <c r="AS11" i="23" s="1"/>
  <c r="AS12" i="23" s="1"/>
  <c r="AS13" i="23" s="1"/>
  <c r="AS14" i="23" s="1"/>
  <c r="AS15" i="23" s="1"/>
  <c r="AS16" i="23" s="1"/>
  <c r="AS17" i="23" s="1"/>
  <c r="AS18" i="23" s="1"/>
  <c r="AS19" i="23" s="1"/>
  <c r="AS20" i="23" s="1"/>
  <c r="AS21" i="23" s="1"/>
  <c r="AS22" i="23" s="1"/>
  <c r="AS23" i="23" s="1"/>
  <c r="AS24" i="23" s="1"/>
  <c r="AS25" i="23" s="1"/>
  <c r="AS26" i="23" s="1"/>
  <c r="AS27" i="23" s="1"/>
  <c r="AS28" i="23" s="1"/>
  <c r="AS29" i="23" s="1"/>
  <c r="AS30" i="23" s="1"/>
  <c r="AS31" i="23" s="1"/>
  <c r="AS32" i="23" s="1"/>
  <c r="AS33" i="23" s="1"/>
  <c r="AO4" i="23"/>
  <c r="AK4" i="23"/>
  <c r="AK5" i="23" s="1"/>
  <c r="AK6" i="23" s="1"/>
  <c r="AK7" i="23" s="1"/>
  <c r="AK8" i="23" s="1"/>
  <c r="AK9" i="23" s="1"/>
  <c r="AK10" i="23" s="1"/>
  <c r="AK11" i="23" s="1"/>
  <c r="AK12" i="23" s="1"/>
  <c r="AK13" i="23" s="1"/>
  <c r="AK14" i="23" s="1"/>
  <c r="AK15" i="23" s="1"/>
  <c r="AK16" i="23" s="1"/>
  <c r="AK17" i="23" s="1"/>
  <c r="AK18" i="23" s="1"/>
  <c r="AK19" i="23" s="1"/>
  <c r="AK20" i="23" s="1"/>
  <c r="AK21" i="23" s="1"/>
  <c r="AK22" i="23" s="1"/>
  <c r="AK23" i="23" s="1"/>
  <c r="AK24" i="23" s="1"/>
  <c r="AK25" i="23" s="1"/>
  <c r="AK26" i="23" s="1"/>
  <c r="AK27" i="23" s="1"/>
  <c r="AK28" i="23" s="1"/>
  <c r="AK29" i="23" s="1"/>
  <c r="AK30" i="23" s="1"/>
  <c r="AK31" i="23" s="1"/>
  <c r="AK32" i="23" s="1"/>
  <c r="AK33" i="23" s="1"/>
  <c r="AG4" i="23"/>
  <c r="AG5" i="23" s="1"/>
  <c r="AG6" i="23" s="1"/>
  <c r="AG7" i="23" s="1"/>
  <c r="AG8" i="23" s="1"/>
  <c r="AG9" i="23" s="1"/>
  <c r="AG10" i="23" s="1"/>
  <c r="AG11" i="23" s="1"/>
  <c r="AG12" i="23" s="1"/>
  <c r="AG13" i="23" s="1"/>
  <c r="AG14" i="23" s="1"/>
  <c r="AG15" i="23" s="1"/>
  <c r="AG16" i="23" s="1"/>
  <c r="AG17" i="23" s="1"/>
  <c r="AG18" i="23" s="1"/>
  <c r="AG19" i="23" s="1"/>
  <c r="AG20" i="23" s="1"/>
  <c r="AG21" i="23" s="1"/>
  <c r="AG22" i="23" s="1"/>
  <c r="AG23" i="23" s="1"/>
  <c r="AG24" i="23" s="1"/>
  <c r="AG25" i="23" s="1"/>
  <c r="AG26" i="23" s="1"/>
  <c r="AG27" i="23" s="1"/>
  <c r="AG28" i="23" s="1"/>
  <c r="AG29" i="23" s="1"/>
  <c r="AG30" i="23" s="1"/>
  <c r="AG31" i="23" s="1"/>
  <c r="AG32" i="23" s="1"/>
  <c r="AC4" i="23"/>
  <c r="AC5" i="23" s="1"/>
  <c r="AC6" i="23" s="1"/>
  <c r="AC7" i="23" s="1"/>
  <c r="AC8" i="23" s="1"/>
  <c r="AC9" i="23" s="1"/>
  <c r="AC10" i="23" s="1"/>
  <c r="AC11" i="23" s="1"/>
  <c r="AC12" i="23" s="1"/>
  <c r="AC13" i="23" s="1"/>
  <c r="AC14" i="23" s="1"/>
  <c r="AC15" i="23" s="1"/>
  <c r="AC16" i="23" s="1"/>
  <c r="AC17" i="23" s="1"/>
  <c r="AC18" i="23" s="1"/>
  <c r="AC19" i="23" s="1"/>
  <c r="AC20" i="23" s="1"/>
  <c r="AC21" i="23" s="1"/>
  <c r="AC22" i="23" s="1"/>
  <c r="AC23" i="23" s="1"/>
  <c r="AC24" i="23" s="1"/>
  <c r="AC25" i="23" s="1"/>
  <c r="AC26" i="23" s="1"/>
  <c r="AC27" i="23" s="1"/>
  <c r="AC28" i="23" s="1"/>
  <c r="AC29" i="23" s="1"/>
  <c r="AC30" i="23" s="1"/>
  <c r="AC31" i="23" s="1"/>
  <c r="AC32" i="23" s="1"/>
  <c r="AC33" i="23" s="1"/>
  <c r="Y4" i="23"/>
  <c r="Y5" i="23" s="1"/>
  <c r="Y6" i="23" s="1"/>
  <c r="Y7" i="23" s="1"/>
  <c r="Y8" i="23" s="1"/>
  <c r="Y9" i="23" s="1"/>
  <c r="Y10" i="23" s="1"/>
  <c r="Y11" i="23" s="1"/>
  <c r="Y12" i="23" s="1"/>
  <c r="Y13" i="23" s="1"/>
  <c r="Y14" i="23" s="1"/>
  <c r="Y15" i="23" s="1"/>
  <c r="Y16" i="23" s="1"/>
  <c r="Y17" i="23" s="1"/>
  <c r="Y18" i="23" s="1"/>
  <c r="Y19" i="23" s="1"/>
  <c r="Y20" i="23" s="1"/>
  <c r="Y21" i="23" s="1"/>
  <c r="Y22" i="23" s="1"/>
  <c r="Y23" i="23" s="1"/>
  <c r="Y24" i="23" s="1"/>
  <c r="Y25" i="23" s="1"/>
  <c r="Y26" i="23" s="1"/>
  <c r="Y27" i="23" s="1"/>
  <c r="Y28" i="23" s="1"/>
  <c r="Y29" i="23" s="1"/>
  <c r="Y30" i="23" s="1"/>
  <c r="Y31" i="23" s="1"/>
  <c r="Y32" i="23" s="1"/>
  <c r="Y33" i="23" s="1"/>
  <c r="U4" i="23"/>
  <c r="U5" i="23" s="1"/>
  <c r="U6" i="23" s="1"/>
  <c r="U7" i="23" s="1"/>
  <c r="U8" i="23" s="1"/>
  <c r="U9" i="23" s="1"/>
  <c r="U10" i="23" s="1"/>
  <c r="U11" i="23" s="1"/>
  <c r="U12" i="23" s="1"/>
  <c r="U13" i="23" s="1"/>
  <c r="U14" i="23" s="1"/>
  <c r="U15" i="23" s="1"/>
  <c r="U16" i="23" s="1"/>
  <c r="U17" i="23" s="1"/>
  <c r="U18" i="23" s="1"/>
  <c r="U19" i="23" s="1"/>
  <c r="U20" i="23" s="1"/>
  <c r="U21" i="23" s="1"/>
  <c r="U22" i="23" s="1"/>
  <c r="U23" i="23" s="1"/>
  <c r="U24" i="23" s="1"/>
  <c r="U25" i="23" s="1"/>
  <c r="U26" i="23" s="1"/>
  <c r="U27" i="23" s="1"/>
  <c r="U28" i="23" s="1"/>
  <c r="U29" i="23" s="1"/>
  <c r="U30" i="23" s="1"/>
  <c r="U31" i="23" s="1"/>
  <c r="U32" i="23" s="1"/>
  <c r="Q4" i="23"/>
  <c r="Q5" i="23" s="1"/>
  <c r="Q6" i="23" s="1"/>
  <c r="Q7" i="23" s="1"/>
  <c r="Q8" i="23" s="1"/>
  <c r="Q9" i="23" s="1"/>
  <c r="Q10" i="23" s="1"/>
  <c r="Q11" i="23" s="1"/>
  <c r="Q12" i="23" s="1"/>
  <c r="Q13" i="23" s="1"/>
  <c r="Q14" i="23" s="1"/>
  <c r="Q15" i="23" s="1"/>
  <c r="Q16" i="23" s="1"/>
  <c r="Q17" i="23" s="1"/>
  <c r="Q18" i="23" s="1"/>
  <c r="Q19" i="23" s="1"/>
  <c r="Q20" i="23" s="1"/>
  <c r="Q21" i="23" s="1"/>
  <c r="Q22" i="23" s="1"/>
  <c r="Q23" i="23" s="1"/>
  <c r="Q24" i="23" s="1"/>
  <c r="Q25" i="23" s="1"/>
  <c r="Q26" i="23" s="1"/>
  <c r="Q27" i="23" s="1"/>
  <c r="Q28" i="23" s="1"/>
  <c r="Q29" i="23" s="1"/>
  <c r="Q30" i="23" s="1"/>
  <c r="Q31" i="23" s="1"/>
  <c r="Q32" i="23" s="1"/>
  <c r="Q33" i="23" s="1"/>
  <c r="M4" i="23"/>
  <c r="M5" i="23" s="1"/>
  <c r="M6" i="23" s="1"/>
  <c r="M7" i="23" s="1"/>
  <c r="M8" i="23" s="1"/>
  <c r="M9" i="23" s="1"/>
  <c r="M10" i="23" s="1"/>
  <c r="M11" i="23" s="1"/>
  <c r="M12" i="23" s="1"/>
  <c r="M13" i="23" s="1"/>
  <c r="M14" i="23" s="1"/>
  <c r="M15" i="23" s="1"/>
  <c r="M16" i="23" s="1"/>
  <c r="M17" i="23" s="1"/>
  <c r="M18" i="23" s="1"/>
  <c r="M19" i="23" s="1"/>
  <c r="M20" i="23" s="1"/>
  <c r="M21" i="23" s="1"/>
  <c r="M22" i="23" s="1"/>
  <c r="M23" i="23" s="1"/>
  <c r="M24" i="23" s="1"/>
  <c r="M25" i="23" s="1"/>
  <c r="M26" i="23" s="1"/>
  <c r="M27" i="23" s="1"/>
  <c r="M28" i="23" s="1"/>
  <c r="M29" i="23" s="1"/>
  <c r="M30" i="23" s="1"/>
  <c r="M31" i="23" s="1"/>
  <c r="M32" i="23" s="1"/>
  <c r="I4" i="23"/>
  <c r="I5" i="23" s="1"/>
  <c r="I6" i="23" s="1"/>
  <c r="I7" i="23" s="1"/>
  <c r="I8" i="23" s="1"/>
  <c r="I9" i="23" s="1"/>
  <c r="I10" i="23" s="1"/>
  <c r="I11" i="23" s="1"/>
  <c r="I12" i="23" s="1"/>
  <c r="I13" i="23" s="1"/>
  <c r="I14" i="23" s="1"/>
  <c r="I15" i="23" s="1"/>
  <c r="I16" i="23" s="1"/>
  <c r="I17" i="23" s="1"/>
  <c r="I18" i="23" s="1"/>
  <c r="I19" i="23" s="1"/>
  <c r="I20" i="23" s="1"/>
  <c r="I21" i="23" s="1"/>
  <c r="I22" i="23" s="1"/>
  <c r="I23" i="23" s="1"/>
  <c r="I24" i="23" s="1"/>
  <c r="I25" i="23" s="1"/>
  <c r="I26" i="23" s="1"/>
  <c r="I27" i="23" s="1"/>
  <c r="I28" i="23" s="1"/>
  <c r="I29" i="23" s="1"/>
  <c r="I30" i="23" s="1"/>
  <c r="I31" i="23" s="1"/>
  <c r="I32" i="23" s="1"/>
  <c r="I33" i="23" s="1"/>
  <c r="E4" i="23"/>
  <c r="E5" i="23" s="1"/>
  <c r="E6" i="23" s="1"/>
  <c r="E7" i="23" s="1"/>
  <c r="E8" i="23" s="1"/>
  <c r="E9" i="23" s="1"/>
  <c r="E10" i="23" s="1"/>
  <c r="E11" i="23" s="1"/>
  <c r="E12" i="23" s="1"/>
  <c r="E13" i="23" s="1"/>
  <c r="E14" i="23" s="1"/>
  <c r="E15" i="23" s="1"/>
  <c r="E16" i="23" s="1"/>
  <c r="E17" i="23" s="1"/>
  <c r="E18" i="23" s="1"/>
  <c r="E19" i="23" s="1"/>
  <c r="E20" i="23" s="1"/>
  <c r="E21" i="23" s="1"/>
  <c r="E22" i="23" s="1"/>
  <c r="E23" i="23" s="1"/>
  <c r="E24" i="23" s="1"/>
  <c r="E25" i="23" s="1"/>
  <c r="E26" i="23" s="1"/>
  <c r="E27" i="23" s="1"/>
  <c r="E28" i="23" s="1"/>
  <c r="E29" i="23" s="1"/>
  <c r="E30" i="23" s="1"/>
  <c r="A4" i="23"/>
  <c r="A5" i="23" s="1"/>
  <c r="A6" i="23" s="1"/>
  <c r="A7" i="23" s="1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M42" i="23" l="1"/>
  <c r="AU38" i="26"/>
  <c r="AT38" i="26"/>
  <c r="AL42" i="23"/>
  <c r="AJ40" i="23"/>
  <c r="AI40" i="23"/>
  <c r="AI39" i="23"/>
  <c r="T38" i="23"/>
  <c r="AT40" i="23"/>
  <c r="AV39" i="23"/>
  <c r="AN38" i="23"/>
  <c r="AT39" i="23"/>
  <c r="AU40" i="23"/>
  <c r="AJ38" i="23"/>
  <c r="AH40" i="23"/>
  <c r="AB38" i="23"/>
  <c r="Z41" i="23"/>
  <c r="V40" i="23"/>
  <c r="W39" i="23"/>
  <c r="W40" i="23"/>
  <c r="X39" i="23"/>
  <c r="X40" i="23"/>
  <c r="M1" i="23"/>
  <c r="AV41" i="23"/>
  <c r="L40" i="23"/>
  <c r="AR1" i="23"/>
  <c r="AN1" i="23"/>
  <c r="N41" i="23"/>
  <c r="I1" i="23"/>
  <c r="H38" i="23"/>
  <c r="C35" i="23"/>
  <c r="G35" i="23" s="1"/>
  <c r="K35" i="23" s="1"/>
  <c r="O35" i="23" s="1"/>
  <c r="S35" i="23" s="1"/>
  <c r="W35" i="23" s="1"/>
  <c r="AA35" i="23" s="1"/>
  <c r="AE35" i="23" s="1"/>
  <c r="AI35" i="23" s="1"/>
  <c r="AM35" i="23" s="1"/>
  <c r="AQ35" i="23" s="1"/>
  <c r="AU35" i="23" s="1"/>
  <c r="D35" i="23"/>
  <c r="H35" i="23" s="1"/>
  <c r="L35" i="23" s="1"/>
  <c r="P35" i="23" s="1"/>
  <c r="T35" i="23" s="1"/>
  <c r="X35" i="23" s="1"/>
  <c r="AB35" i="23" s="1"/>
  <c r="AF35" i="23" s="1"/>
  <c r="AJ35" i="23" s="1"/>
  <c r="AN35" i="23" s="1"/>
  <c r="AR35" i="23" s="1"/>
  <c r="AV35" i="23" s="1"/>
  <c r="AP43" i="26" s="1"/>
  <c r="D41" i="23"/>
  <c r="T1" i="23"/>
  <c r="B42" i="23" s="1"/>
  <c r="AJ41" i="23"/>
  <c r="AA41" i="23"/>
  <c r="K41" i="23"/>
  <c r="AJ1" i="23"/>
  <c r="AF41" i="23"/>
  <c r="AQ41" i="23"/>
  <c r="J40" i="23"/>
  <c r="K39" i="23"/>
  <c r="L41" i="23"/>
  <c r="AR41" i="23"/>
  <c r="K40" i="23"/>
  <c r="AB1" i="23"/>
  <c r="C42" i="23" s="1"/>
  <c r="L39" i="23"/>
  <c r="C41" i="23"/>
  <c r="AT41" i="23"/>
  <c r="X38" i="23"/>
  <c r="V41" i="23"/>
  <c r="V39" i="23"/>
  <c r="AU41" i="23"/>
  <c r="O41" i="23"/>
  <c r="R1" i="23"/>
  <c r="AP42" i="26" s="1"/>
  <c r="R41" i="23"/>
  <c r="AM41" i="23"/>
  <c r="X41" i="23"/>
  <c r="AF1" i="23"/>
  <c r="AQ42" i="26" s="1"/>
  <c r="H41" i="23"/>
  <c r="P41" i="23"/>
  <c r="S41" i="23"/>
  <c r="AD41" i="23"/>
  <c r="AN41" i="23"/>
  <c r="AF38" i="23"/>
  <c r="AU39" i="23"/>
  <c r="G41" i="23"/>
  <c r="AB41" i="23"/>
  <c r="AV40" i="23"/>
  <c r="F41" i="23"/>
  <c r="L38" i="23"/>
  <c r="AL41" i="23"/>
  <c r="J41" i="23"/>
  <c r="T41" i="23"/>
  <c r="AE41" i="23"/>
  <c r="AR38" i="23"/>
  <c r="AP41" i="23"/>
  <c r="AI41" i="23"/>
  <c r="D38" i="23"/>
  <c r="AH39" i="23"/>
  <c r="P38" i="23"/>
  <c r="AV38" i="23"/>
  <c r="B35" i="23"/>
  <c r="F35" i="23" s="1"/>
  <c r="J35" i="23" s="1"/>
  <c r="N35" i="23" s="1"/>
  <c r="R35" i="23" s="1"/>
  <c r="V35" i="23" s="1"/>
  <c r="Z35" i="23" s="1"/>
  <c r="AD35" i="23" s="1"/>
  <c r="AH35" i="23" s="1"/>
  <c r="AL35" i="23" s="1"/>
  <c r="AP35" i="23" s="1"/>
  <c r="AT35" i="23" s="1"/>
  <c r="J39" i="23"/>
  <c r="AJ39" i="23"/>
  <c r="B41" i="23"/>
  <c r="W41" i="23"/>
  <c r="AH41" i="23"/>
  <c r="AU42" i="26" l="1"/>
  <c r="AT42" i="26"/>
  <c r="AU1" i="23"/>
  <c r="C43" i="23" s="1"/>
  <c r="E1" i="23"/>
  <c r="B1" i="23"/>
  <c r="J24" i="21"/>
  <c r="S24" i="21"/>
  <c r="H24" i="21"/>
  <c r="L24" i="21"/>
  <c r="R24" i="21"/>
  <c r="G43" i="23" l="1"/>
  <c r="K24" i="21"/>
  <c r="AU43" i="26"/>
  <c r="AT43" i="26"/>
  <c r="AL43" i="23"/>
  <c r="K43" i="23"/>
  <c r="K42" i="23"/>
  <c r="B43" i="23"/>
  <c r="F43" i="23"/>
  <c r="J27" i="21"/>
  <c r="S27" i="21"/>
  <c r="H27" i="21"/>
  <c r="L27" i="21"/>
  <c r="R27" i="21"/>
  <c r="J28" i="21"/>
  <c r="S28" i="21"/>
  <c r="H28" i="21"/>
  <c r="L28" i="21"/>
  <c r="R28" i="21"/>
  <c r="AQ43" i="26" l="1"/>
  <c r="J43" i="23"/>
  <c r="J42" i="23"/>
  <c r="K28" i="21"/>
  <c r="K27" i="21"/>
  <c r="S3" i="21"/>
  <c r="S4" i="21"/>
  <c r="S5" i="21"/>
  <c r="S6" i="21"/>
  <c r="S7" i="21"/>
  <c r="S8" i="21"/>
  <c r="S9" i="21"/>
  <c r="S10" i="21"/>
  <c r="S11" i="21"/>
  <c r="S12" i="21"/>
  <c r="S14" i="21"/>
  <c r="S13" i="21"/>
  <c r="S15" i="21"/>
  <c r="S16" i="21"/>
  <c r="S17" i="21"/>
  <c r="S18" i="21"/>
  <c r="S20" i="21"/>
  <c r="S19" i="21"/>
  <c r="S21" i="21"/>
  <c r="S22" i="21"/>
  <c r="S23" i="21"/>
  <c r="S26" i="21"/>
  <c r="S2" i="21"/>
  <c r="R3" i="21"/>
  <c r="R4" i="21"/>
  <c r="R5" i="21"/>
  <c r="R6" i="21"/>
  <c r="R7" i="21"/>
  <c r="R8" i="21"/>
  <c r="R9" i="21"/>
  <c r="R10" i="21"/>
  <c r="R11" i="21"/>
  <c r="R12" i="21"/>
  <c r="R14" i="21"/>
  <c r="R13" i="21"/>
  <c r="R15" i="21"/>
  <c r="R16" i="21"/>
  <c r="R17" i="21"/>
  <c r="R18" i="21"/>
  <c r="R20" i="21"/>
  <c r="R19" i="21"/>
  <c r="R21" i="21"/>
  <c r="R22" i="21"/>
  <c r="R23" i="21"/>
  <c r="R26" i="21"/>
  <c r="R2" i="21"/>
  <c r="H13" i="21"/>
  <c r="J13" i="21"/>
  <c r="L3" i="21"/>
  <c r="L4" i="21"/>
  <c r="L5" i="21"/>
  <c r="L6" i="21"/>
  <c r="L7" i="21"/>
  <c r="L8" i="21"/>
  <c r="L10" i="21"/>
  <c r="L11" i="21"/>
  <c r="L12" i="21"/>
  <c r="L14" i="21"/>
  <c r="L15" i="21"/>
  <c r="L16" i="21"/>
  <c r="L17" i="21"/>
  <c r="L18" i="21"/>
  <c r="L19" i="21"/>
  <c r="L21" i="21"/>
  <c r="L22" i="21"/>
  <c r="L23" i="21"/>
  <c r="L26" i="21"/>
  <c r="L13" i="21"/>
  <c r="L2" i="21"/>
  <c r="K13" i="21" l="1"/>
  <c r="H10" i="21"/>
  <c r="J10" i="21" l="1"/>
  <c r="K10" i="21" l="1"/>
  <c r="I34" i="11"/>
  <c r="G42" i="17"/>
  <c r="F42" i="17"/>
  <c r="G42" i="19"/>
  <c r="F42" i="19"/>
  <c r="G3" i="10"/>
  <c r="N24" i="13"/>
  <c r="N25" i="13"/>
  <c r="N26" i="13"/>
  <c r="N27" i="13"/>
  <c r="N28" i="13"/>
  <c r="N29" i="13"/>
  <c r="N30" i="13"/>
  <c r="N31" i="13"/>
  <c r="N32" i="13"/>
  <c r="N33" i="13"/>
  <c r="N34" i="13"/>
  <c r="N23" i="13"/>
  <c r="M22" i="22"/>
  <c r="M8" i="22"/>
  <c r="M16" i="22"/>
  <c r="M14" i="22"/>
  <c r="M3" i="22"/>
  <c r="I36" i="11"/>
  <c r="Q24" i="13"/>
  <c r="S24" i="13" s="1"/>
  <c r="G5" i="10"/>
  <c r="J2" i="21"/>
  <c r="H2" i="21"/>
  <c r="J3" i="21"/>
  <c r="H3" i="21"/>
  <c r="J5" i="21"/>
  <c r="H5" i="21"/>
  <c r="J4" i="21"/>
  <c r="H4" i="21"/>
  <c r="J6" i="21"/>
  <c r="H6" i="21"/>
  <c r="J7" i="21"/>
  <c r="H7" i="21"/>
  <c r="J8" i="21"/>
  <c r="H8" i="21"/>
  <c r="J26" i="21"/>
  <c r="H26" i="21"/>
  <c r="J23" i="21"/>
  <c r="H23" i="21"/>
  <c r="J22" i="21"/>
  <c r="H22" i="21"/>
  <c r="J21" i="21"/>
  <c r="H21" i="21"/>
  <c r="J19" i="21"/>
  <c r="H19" i="21"/>
  <c r="J20" i="21"/>
  <c r="H20" i="21"/>
  <c r="J18" i="21"/>
  <c r="H18" i="21"/>
  <c r="J17" i="21"/>
  <c r="H17" i="21"/>
  <c r="J16" i="21"/>
  <c r="H16" i="21"/>
  <c r="J15" i="21"/>
  <c r="H15" i="21"/>
  <c r="J14" i="21"/>
  <c r="H14" i="21"/>
  <c r="J12" i="21"/>
  <c r="H12" i="21"/>
  <c r="J11" i="21"/>
  <c r="H11" i="21"/>
  <c r="J9" i="21"/>
  <c r="H9" i="21"/>
  <c r="H29" i="5"/>
  <c r="G29" i="5"/>
  <c r="F29" i="5"/>
  <c r="E29" i="5"/>
  <c r="D29" i="5"/>
  <c r="C29" i="5"/>
  <c r="B29" i="5"/>
  <c r="G30" i="13"/>
  <c r="T14" i="21" l="1"/>
  <c r="P14" i="21" s="1"/>
  <c r="T25" i="21"/>
  <c r="P25" i="21" s="1"/>
  <c r="T24" i="21"/>
  <c r="P24" i="21" s="1"/>
  <c r="T28" i="21"/>
  <c r="P28" i="21" s="1"/>
  <c r="T27" i="21"/>
  <c r="P27" i="21" s="1"/>
  <c r="T18" i="21"/>
  <c r="P18" i="21" s="1"/>
  <c r="T20" i="21"/>
  <c r="P20" i="21" s="1"/>
  <c r="T23" i="21"/>
  <c r="P23" i="21" s="1"/>
  <c r="T6" i="21"/>
  <c r="P6" i="21" s="1"/>
  <c r="T7" i="21"/>
  <c r="P7" i="21" s="1"/>
  <c r="T15" i="21"/>
  <c r="P15" i="21" s="1"/>
  <c r="T16" i="21"/>
  <c r="P16" i="21" s="1"/>
  <c r="T19" i="21"/>
  <c r="P19" i="21" s="1"/>
  <c r="T26" i="21"/>
  <c r="P26" i="21" s="1"/>
  <c r="T4" i="21"/>
  <c r="P4" i="21" s="1"/>
  <c r="T22" i="21"/>
  <c r="P22" i="21" s="1"/>
  <c r="T9" i="21"/>
  <c r="P9" i="21" s="1"/>
  <c r="T17" i="21"/>
  <c r="P17" i="21" s="1"/>
  <c r="T8" i="21"/>
  <c r="P8" i="21" s="1"/>
  <c r="T5" i="21"/>
  <c r="P5" i="21" s="1"/>
  <c r="T3" i="21"/>
  <c r="P3" i="21" s="1"/>
  <c r="T2" i="21"/>
  <c r="P2" i="21" s="1"/>
  <c r="T13" i="21"/>
  <c r="P13" i="21" s="1"/>
  <c r="T11" i="21"/>
  <c r="P11" i="21" s="1"/>
  <c r="T12" i="21"/>
  <c r="P12" i="21" s="1"/>
  <c r="T21" i="21"/>
  <c r="P21" i="21" s="1"/>
  <c r="T10" i="21"/>
  <c r="P10" i="21" s="1"/>
  <c r="K12" i="21"/>
  <c r="K17" i="21"/>
  <c r="K21" i="21"/>
  <c r="K8" i="21"/>
  <c r="K5" i="21"/>
  <c r="K14" i="21"/>
  <c r="K18" i="21"/>
  <c r="K22" i="21"/>
  <c r="K7" i="21"/>
  <c r="K3" i="21"/>
  <c r="K9" i="21"/>
  <c r="K15" i="21"/>
  <c r="K20" i="21"/>
  <c r="K23" i="21"/>
  <c r="K6" i="21"/>
  <c r="K2" i="21"/>
  <c r="K11" i="21"/>
  <c r="K16" i="21"/>
  <c r="K19" i="21"/>
  <c r="K26" i="21"/>
  <c r="K4" i="21"/>
  <c r="H34" i="19"/>
  <c r="L34" i="19"/>
  <c r="P34" i="19"/>
  <c r="T34" i="19"/>
  <c r="X34" i="19"/>
  <c r="AB34" i="19"/>
  <c r="AF34" i="19"/>
  <c r="AJ34" i="19"/>
  <c r="AN34" i="19"/>
  <c r="AR34" i="19"/>
  <c r="AV34" i="19"/>
  <c r="AV37" i="19"/>
  <c r="AU37" i="19"/>
  <c r="AT37" i="19"/>
  <c r="AR37" i="19"/>
  <c r="AQ37" i="19"/>
  <c r="AP37" i="19"/>
  <c r="AN37" i="19"/>
  <c r="AM37" i="19"/>
  <c r="AL37" i="19"/>
  <c r="AJ37" i="19"/>
  <c r="AI37" i="19"/>
  <c r="AH37" i="19"/>
  <c r="AF37" i="19"/>
  <c r="AE37" i="19"/>
  <c r="AD37" i="19"/>
  <c r="AB37" i="19"/>
  <c r="AA37" i="19"/>
  <c r="Z37" i="19"/>
  <c r="X37" i="19"/>
  <c r="W37" i="19"/>
  <c r="V37" i="19"/>
  <c r="T37" i="19"/>
  <c r="S37" i="19"/>
  <c r="R37" i="19"/>
  <c r="P37" i="19"/>
  <c r="O37" i="19"/>
  <c r="N37" i="19"/>
  <c r="L37" i="19"/>
  <c r="K37" i="19"/>
  <c r="J37" i="19"/>
  <c r="H37" i="19"/>
  <c r="G37" i="19"/>
  <c r="F37" i="19"/>
  <c r="D37" i="19"/>
  <c r="C37" i="19"/>
  <c r="B37" i="19"/>
  <c r="AV36" i="19"/>
  <c r="AU36" i="19"/>
  <c r="AT36" i="19"/>
  <c r="AR36" i="19"/>
  <c r="AQ36" i="19"/>
  <c r="AP36" i="19"/>
  <c r="AN36" i="19"/>
  <c r="AM36" i="19"/>
  <c r="AL36" i="19"/>
  <c r="AJ36" i="19"/>
  <c r="AI36" i="19"/>
  <c r="AH36" i="19"/>
  <c r="AF36" i="19"/>
  <c r="AE36" i="19"/>
  <c r="AD36" i="19"/>
  <c r="AB36" i="19"/>
  <c r="AA36" i="19"/>
  <c r="Z36" i="19"/>
  <c r="X36" i="19"/>
  <c r="W36" i="19"/>
  <c r="V36" i="19"/>
  <c r="T36" i="19"/>
  <c r="S36" i="19"/>
  <c r="R36" i="19"/>
  <c r="P36" i="19"/>
  <c r="O36" i="19"/>
  <c r="N36" i="19"/>
  <c r="L36" i="19"/>
  <c r="K36" i="19"/>
  <c r="J36" i="19"/>
  <c r="H36" i="19"/>
  <c r="G36" i="19"/>
  <c r="F36" i="19"/>
  <c r="D36" i="19"/>
  <c r="C36" i="19"/>
  <c r="B36" i="19"/>
  <c r="AU34" i="19"/>
  <c r="AU38" i="23" s="1"/>
  <c r="AT34" i="19"/>
  <c r="AT38" i="23" s="1"/>
  <c r="AQ34" i="19"/>
  <c r="AQ38" i="23" s="1"/>
  <c r="AP34" i="19"/>
  <c r="AP38" i="23" s="1"/>
  <c r="AM34" i="19"/>
  <c r="AM38" i="23" s="1"/>
  <c r="AL34" i="19"/>
  <c r="AL38" i="23" s="1"/>
  <c r="AI34" i="19"/>
  <c r="AI38" i="23" s="1"/>
  <c r="AH34" i="19"/>
  <c r="AH38" i="23" s="1"/>
  <c r="AE34" i="19"/>
  <c r="AE38" i="23" s="1"/>
  <c r="AD34" i="19"/>
  <c r="AD38" i="23" s="1"/>
  <c r="AA34" i="19"/>
  <c r="AA38" i="23" s="1"/>
  <c r="Z34" i="19"/>
  <c r="Z38" i="23" s="1"/>
  <c r="W34" i="19"/>
  <c r="W38" i="23" s="1"/>
  <c r="V34" i="19"/>
  <c r="V38" i="23" s="1"/>
  <c r="S34" i="19"/>
  <c r="S38" i="23" s="1"/>
  <c r="R34" i="19"/>
  <c r="R38" i="23" s="1"/>
  <c r="O34" i="19"/>
  <c r="O38" i="23" s="1"/>
  <c r="N34" i="19"/>
  <c r="N38" i="23" s="1"/>
  <c r="K34" i="19"/>
  <c r="K38" i="23" s="1"/>
  <c r="J34" i="19"/>
  <c r="J38" i="23" s="1"/>
  <c r="G34" i="19"/>
  <c r="G38" i="23" s="1"/>
  <c r="F34" i="19"/>
  <c r="F38" i="23" s="1"/>
  <c r="D34" i="19"/>
  <c r="C34" i="19"/>
  <c r="B34" i="19"/>
  <c r="AS4" i="19"/>
  <c r="AS5" i="19" s="1"/>
  <c r="AS6" i="19" s="1"/>
  <c r="AS7" i="19" s="1"/>
  <c r="AS8" i="19" s="1"/>
  <c r="AS9" i="19" s="1"/>
  <c r="AS10" i="19" s="1"/>
  <c r="AS11" i="19" s="1"/>
  <c r="AS12" i="19" s="1"/>
  <c r="AS13" i="19" s="1"/>
  <c r="AS14" i="19" s="1"/>
  <c r="AS15" i="19" s="1"/>
  <c r="AS16" i="19" s="1"/>
  <c r="AS17" i="19" s="1"/>
  <c r="AS18" i="19" s="1"/>
  <c r="AS19" i="19" s="1"/>
  <c r="AS20" i="19" s="1"/>
  <c r="AS21" i="19" s="1"/>
  <c r="AS22" i="19" s="1"/>
  <c r="AS23" i="19" s="1"/>
  <c r="AS24" i="19" s="1"/>
  <c r="AS25" i="19" s="1"/>
  <c r="AS26" i="19" s="1"/>
  <c r="AS27" i="19" s="1"/>
  <c r="AS28" i="19" s="1"/>
  <c r="AS29" i="19" s="1"/>
  <c r="AS30" i="19" s="1"/>
  <c r="AS31" i="19" s="1"/>
  <c r="AS32" i="19" s="1"/>
  <c r="AS33" i="19" s="1"/>
  <c r="AO4" i="19"/>
  <c r="AO5" i="19" s="1"/>
  <c r="AO6" i="19" s="1"/>
  <c r="AO7" i="19" s="1"/>
  <c r="AO8" i="19" s="1"/>
  <c r="AO9" i="19" s="1"/>
  <c r="AO10" i="19" s="1"/>
  <c r="AO11" i="19" s="1"/>
  <c r="AO12" i="19" s="1"/>
  <c r="AO13" i="19" s="1"/>
  <c r="AO14" i="19" s="1"/>
  <c r="AO15" i="19" s="1"/>
  <c r="AO16" i="19" s="1"/>
  <c r="AO17" i="19" s="1"/>
  <c r="AO18" i="19" s="1"/>
  <c r="AO19" i="19" s="1"/>
  <c r="AO20" i="19" s="1"/>
  <c r="AO21" i="19" s="1"/>
  <c r="AO22" i="19" s="1"/>
  <c r="AO23" i="19" s="1"/>
  <c r="AO24" i="19" s="1"/>
  <c r="AO25" i="19" s="1"/>
  <c r="AO26" i="19" s="1"/>
  <c r="AO27" i="19" s="1"/>
  <c r="AO28" i="19" s="1"/>
  <c r="AO29" i="19" s="1"/>
  <c r="AO30" i="19" s="1"/>
  <c r="AO31" i="19" s="1"/>
  <c r="AO32" i="19" s="1"/>
  <c r="AK4" i="19"/>
  <c r="AK5" i="19" s="1"/>
  <c r="AK6" i="19" s="1"/>
  <c r="AK7" i="19" s="1"/>
  <c r="AK8" i="19" s="1"/>
  <c r="AK9" i="19" s="1"/>
  <c r="AK10" i="19" s="1"/>
  <c r="AK11" i="19" s="1"/>
  <c r="AK12" i="19" s="1"/>
  <c r="AK13" i="19" s="1"/>
  <c r="AK14" i="19" s="1"/>
  <c r="AK15" i="19" s="1"/>
  <c r="AK16" i="19" s="1"/>
  <c r="AK17" i="19" s="1"/>
  <c r="AK18" i="19" s="1"/>
  <c r="AK19" i="19" s="1"/>
  <c r="AK20" i="19" s="1"/>
  <c r="AK21" i="19" s="1"/>
  <c r="AK22" i="19" s="1"/>
  <c r="AK23" i="19" s="1"/>
  <c r="AK24" i="19" s="1"/>
  <c r="AK25" i="19" s="1"/>
  <c r="AK26" i="19" s="1"/>
  <c r="AK27" i="19" s="1"/>
  <c r="AK28" i="19" s="1"/>
  <c r="AK29" i="19" s="1"/>
  <c r="AK30" i="19" s="1"/>
  <c r="AK31" i="19" s="1"/>
  <c r="AK32" i="19" s="1"/>
  <c r="AK33" i="19" s="1"/>
  <c r="AG4" i="19"/>
  <c r="AG5" i="19" s="1"/>
  <c r="AG6" i="19" s="1"/>
  <c r="AG7" i="19" s="1"/>
  <c r="AG8" i="19" s="1"/>
  <c r="AG9" i="19" s="1"/>
  <c r="AG10" i="19" s="1"/>
  <c r="AG11" i="19" s="1"/>
  <c r="AG12" i="19" s="1"/>
  <c r="AG13" i="19" s="1"/>
  <c r="AG14" i="19" s="1"/>
  <c r="AG15" i="19" s="1"/>
  <c r="AG16" i="19" s="1"/>
  <c r="AG17" i="19" s="1"/>
  <c r="AG18" i="19" s="1"/>
  <c r="AG19" i="19" s="1"/>
  <c r="AG20" i="19" s="1"/>
  <c r="AG21" i="19" s="1"/>
  <c r="AG22" i="19" s="1"/>
  <c r="AG23" i="19" s="1"/>
  <c r="AG24" i="19" s="1"/>
  <c r="AG25" i="19" s="1"/>
  <c r="AG26" i="19" s="1"/>
  <c r="AG27" i="19" s="1"/>
  <c r="AG28" i="19" s="1"/>
  <c r="AG29" i="19" s="1"/>
  <c r="AG30" i="19" s="1"/>
  <c r="AG31" i="19" s="1"/>
  <c r="AG32" i="19" s="1"/>
  <c r="AC4" i="19"/>
  <c r="AC5" i="19" s="1"/>
  <c r="AC6" i="19" s="1"/>
  <c r="AC7" i="19" s="1"/>
  <c r="AC8" i="19" s="1"/>
  <c r="AC9" i="19" s="1"/>
  <c r="AC10" i="19" s="1"/>
  <c r="AC11" i="19" s="1"/>
  <c r="AC12" i="19" s="1"/>
  <c r="AC13" i="19" s="1"/>
  <c r="AC14" i="19" s="1"/>
  <c r="AC15" i="19" s="1"/>
  <c r="AC16" i="19" s="1"/>
  <c r="AC17" i="19" s="1"/>
  <c r="AC18" i="19" s="1"/>
  <c r="AC19" i="19" s="1"/>
  <c r="AC20" i="19" s="1"/>
  <c r="AC21" i="19" s="1"/>
  <c r="AC22" i="19" s="1"/>
  <c r="AC23" i="19" s="1"/>
  <c r="AC24" i="19" s="1"/>
  <c r="AC25" i="19" s="1"/>
  <c r="AC26" i="19" s="1"/>
  <c r="AC27" i="19" s="1"/>
  <c r="AC28" i="19" s="1"/>
  <c r="AC29" i="19" s="1"/>
  <c r="AC30" i="19" s="1"/>
  <c r="AC31" i="19" s="1"/>
  <c r="AC32" i="19" s="1"/>
  <c r="AC33" i="19" s="1"/>
  <c r="Y4" i="19"/>
  <c r="Y5" i="19" s="1"/>
  <c r="Y6" i="19" s="1"/>
  <c r="Y7" i="19" s="1"/>
  <c r="Y8" i="19" s="1"/>
  <c r="Y9" i="19" s="1"/>
  <c r="Y10" i="19" s="1"/>
  <c r="Y11" i="19" s="1"/>
  <c r="Y12" i="19" s="1"/>
  <c r="Y13" i="19" s="1"/>
  <c r="Y14" i="19" s="1"/>
  <c r="Y15" i="19" s="1"/>
  <c r="Y16" i="19" s="1"/>
  <c r="Y17" i="19" s="1"/>
  <c r="Y18" i="19" s="1"/>
  <c r="Y19" i="19" s="1"/>
  <c r="Y20" i="19" s="1"/>
  <c r="Y21" i="19" s="1"/>
  <c r="Y22" i="19" s="1"/>
  <c r="Y23" i="19" s="1"/>
  <c r="Y24" i="19" s="1"/>
  <c r="Y25" i="19" s="1"/>
  <c r="Y26" i="19" s="1"/>
  <c r="Y27" i="19" s="1"/>
  <c r="Y28" i="19" s="1"/>
  <c r="Y29" i="19" s="1"/>
  <c r="Y30" i="19" s="1"/>
  <c r="Y31" i="19" s="1"/>
  <c r="Y32" i="19" s="1"/>
  <c r="Y33" i="19" s="1"/>
  <c r="U4" i="19"/>
  <c r="U5" i="19" s="1"/>
  <c r="U6" i="19" s="1"/>
  <c r="U7" i="19" s="1"/>
  <c r="U8" i="19" s="1"/>
  <c r="U9" i="19" s="1"/>
  <c r="U10" i="19" s="1"/>
  <c r="U11" i="19" s="1"/>
  <c r="U12" i="19" s="1"/>
  <c r="U13" i="19" s="1"/>
  <c r="U14" i="19" s="1"/>
  <c r="U15" i="19" s="1"/>
  <c r="U16" i="19" s="1"/>
  <c r="U17" i="19" s="1"/>
  <c r="U18" i="19" s="1"/>
  <c r="U19" i="19" s="1"/>
  <c r="U20" i="19" s="1"/>
  <c r="U21" i="19" s="1"/>
  <c r="U22" i="19" s="1"/>
  <c r="U23" i="19" s="1"/>
  <c r="U24" i="19" s="1"/>
  <c r="U25" i="19" s="1"/>
  <c r="U26" i="19" s="1"/>
  <c r="U27" i="19" s="1"/>
  <c r="U28" i="19" s="1"/>
  <c r="U29" i="19" s="1"/>
  <c r="U30" i="19" s="1"/>
  <c r="U31" i="19" s="1"/>
  <c r="U32" i="19" s="1"/>
  <c r="Q4" i="19"/>
  <c r="Q5" i="19" s="1"/>
  <c r="Q6" i="19" s="1"/>
  <c r="Q7" i="19" s="1"/>
  <c r="Q8" i="19" s="1"/>
  <c r="Q9" i="19" s="1"/>
  <c r="Q10" i="19" s="1"/>
  <c r="Q11" i="19" s="1"/>
  <c r="Q12" i="19" s="1"/>
  <c r="Q13" i="19" s="1"/>
  <c r="Q14" i="19" s="1"/>
  <c r="Q15" i="19" s="1"/>
  <c r="Q16" i="19" s="1"/>
  <c r="Q17" i="19" s="1"/>
  <c r="Q18" i="19" s="1"/>
  <c r="Q19" i="19" s="1"/>
  <c r="Q20" i="19" s="1"/>
  <c r="Q21" i="19" s="1"/>
  <c r="Q22" i="19" s="1"/>
  <c r="Q23" i="19" s="1"/>
  <c r="Q24" i="19" s="1"/>
  <c r="Q25" i="19" s="1"/>
  <c r="Q26" i="19" s="1"/>
  <c r="Q27" i="19" s="1"/>
  <c r="Q28" i="19" s="1"/>
  <c r="Q29" i="19" s="1"/>
  <c r="Q30" i="19" s="1"/>
  <c r="Q31" i="19" s="1"/>
  <c r="Q32" i="19" s="1"/>
  <c r="Q33" i="19" s="1"/>
  <c r="M4" i="19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I4" i="19"/>
  <c r="I5" i="19" s="1"/>
  <c r="I6" i="19" s="1"/>
  <c r="I7" i="19" s="1"/>
  <c r="I8" i="19" s="1"/>
  <c r="I9" i="19" s="1"/>
  <c r="I10" i="19" s="1"/>
  <c r="I11" i="19" s="1"/>
  <c r="I12" i="19" s="1"/>
  <c r="I13" i="19" s="1"/>
  <c r="I14" i="19" s="1"/>
  <c r="I15" i="19" s="1"/>
  <c r="I16" i="19" s="1"/>
  <c r="I17" i="19" s="1"/>
  <c r="I18" i="19" s="1"/>
  <c r="I19" i="19" s="1"/>
  <c r="I20" i="19" s="1"/>
  <c r="I21" i="19" s="1"/>
  <c r="I22" i="19" s="1"/>
  <c r="I23" i="19" s="1"/>
  <c r="I24" i="19" s="1"/>
  <c r="I25" i="19" s="1"/>
  <c r="I26" i="19" s="1"/>
  <c r="I27" i="19" s="1"/>
  <c r="I28" i="19" s="1"/>
  <c r="I29" i="19" s="1"/>
  <c r="I30" i="19" s="1"/>
  <c r="I31" i="19" s="1"/>
  <c r="I32" i="19" s="1"/>
  <c r="I33" i="19" s="1"/>
  <c r="E4" i="19"/>
  <c r="E5" i="19" s="1"/>
  <c r="E6" i="19" s="1"/>
  <c r="E7" i="19" s="1"/>
  <c r="E8" i="19" s="1"/>
  <c r="E9" i="19" s="1"/>
  <c r="E10" i="19" s="1"/>
  <c r="E11" i="19" s="1"/>
  <c r="E12" i="19" s="1"/>
  <c r="E13" i="19" s="1"/>
  <c r="E14" i="19" s="1"/>
  <c r="E15" i="19" s="1"/>
  <c r="E16" i="19" s="1"/>
  <c r="E17" i="19" s="1"/>
  <c r="E18" i="19" s="1"/>
  <c r="E19" i="19" s="1"/>
  <c r="E20" i="19" s="1"/>
  <c r="E21" i="19" s="1"/>
  <c r="E22" i="19" s="1"/>
  <c r="E23" i="19" s="1"/>
  <c r="E24" i="19" s="1"/>
  <c r="E25" i="19" s="1"/>
  <c r="E26" i="19" s="1"/>
  <c r="E27" i="19" s="1"/>
  <c r="E28" i="19" s="1"/>
  <c r="E29" i="19" s="1"/>
  <c r="E30" i="19" s="1"/>
  <c r="A4" i="19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H69" i="5"/>
  <c r="G69" i="5"/>
  <c r="F69" i="5"/>
  <c r="E69" i="5"/>
  <c r="D69" i="5"/>
  <c r="C69" i="5"/>
  <c r="B69" i="5"/>
  <c r="I35" i="11"/>
  <c r="G33" i="10"/>
  <c r="G4" i="10"/>
  <c r="G36" i="10"/>
  <c r="G7" i="10"/>
  <c r="G10" i="10"/>
  <c r="G12" i="10"/>
  <c r="G13" i="10"/>
  <c r="G15" i="10"/>
  <c r="G17" i="10"/>
  <c r="G22" i="10"/>
  <c r="G24" i="10"/>
  <c r="G26" i="10"/>
  <c r="G28" i="10"/>
  <c r="G31" i="10"/>
  <c r="G35" i="10"/>
  <c r="G37" i="10"/>
  <c r="G38" i="10"/>
  <c r="G39" i="10"/>
  <c r="G40" i="10"/>
  <c r="G41" i="10"/>
  <c r="G6" i="10"/>
  <c r="G57" i="5"/>
  <c r="G49" i="5"/>
  <c r="G40" i="5"/>
  <c r="G34" i="5"/>
  <c r="G19" i="5"/>
  <c r="G10" i="5"/>
  <c r="H57" i="5"/>
  <c r="H49" i="5"/>
  <c r="H40" i="5"/>
  <c r="H34" i="5"/>
  <c r="H19" i="5"/>
  <c r="H10" i="5"/>
  <c r="I16" i="11"/>
  <c r="O2" i="1"/>
  <c r="O3" i="1"/>
  <c r="O4" i="1"/>
  <c r="O6" i="1"/>
  <c r="O8" i="1"/>
  <c r="O11" i="1"/>
  <c r="O12" i="1"/>
  <c r="O16" i="1"/>
  <c r="O17" i="1"/>
  <c r="O18" i="1"/>
  <c r="O19" i="1"/>
  <c r="O21" i="1"/>
  <c r="O20" i="1"/>
  <c r="O22" i="1"/>
  <c r="O23" i="1"/>
  <c r="O25" i="1"/>
  <c r="O24" i="1"/>
  <c r="O26" i="1"/>
  <c r="O27" i="1"/>
  <c r="O31" i="1"/>
  <c r="O29" i="1"/>
  <c r="O32" i="1"/>
  <c r="O33" i="1"/>
  <c r="O34" i="1"/>
  <c r="O35" i="1"/>
  <c r="O36" i="1"/>
  <c r="O37" i="1"/>
  <c r="O38" i="1"/>
  <c r="O40" i="1"/>
  <c r="O41" i="1"/>
  <c r="K18" i="13"/>
  <c r="C30" i="13"/>
  <c r="I9" i="11"/>
  <c r="I13" i="11"/>
  <c r="I14" i="11"/>
  <c r="I15" i="11"/>
  <c r="I19" i="11"/>
  <c r="I20" i="11"/>
  <c r="I22" i="11"/>
  <c r="I23" i="11"/>
  <c r="I25" i="11"/>
  <c r="I27" i="11"/>
  <c r="I28" i="11"/>
  <c r="I30" i="11"/>
  <c r="I31" i="11"/>
  <c r="I33" i="11"/>
  <c r="I38" i="11"/>
  <c r="I39" i="11"/>
  <c r="I40" i="11"/>
  <c r="I18" i="1"/>
  <c r="I3" i="1"/>
  <c r="AV34" i="17"/>
  <c r="AR34" i="17"/>
  <c r="AN34" i="17"/>
  <c r="AJ34" i="17"/>
  <c r="AF34" i="17"/>
  <c r="AB34" i="17"/>
  <c r="X34" i="17"/>
  <c r="T34" i="17"/>
  <c r="P34" i="17"/>
  <c r="L34" i="17"/>
  <c r="H34" i="17"/>
  <c r="D34" i="17"/>
  <c r="N2" i="5" l="1"/>
  <c r="R5" i="13" s="1"/>
  <c r="P2" i="5"/>
  <c r="B38" i="23"/>
  <c r="AL42" i="19"/>
  <c r="C38" i="23"/>
  <c r="AM42" i="19"/>
  <c r="O25" i="21"/>
  <c r="O24" i="21"/>
  <c r="O27" i="21"/>
  <c r="O28" i="21"/>
  <c r="O19" i="21"/>
  <c r="O5" i="21"/>
  <c r="O21" i="21"/>
  <c r="O17" i="21"/>
  <c r="O15" i="21"/>
  <c r="O8" i="21"/>
  <c r="O7" i="21"/>
  <c r="O11" i="21"/>
  <c r="O13" i="21"/>
  <c r="O14" i="21"/>
  <c r="O10" i="21"/>
  <c r="O9" i="21"/>
  <c r="O18" i="21"/>
  <c r="O16" i="21"/>
  <c r="O12" i="21"/>
  <c r="O22" i="21"/>
  <c r="O6" i="21"/>
  <c r="O2" i="21"/>
  <c r="O4" i="21"/>
  <c r="O23" i="21"/>
  <c r="O3" i="21"/>
  <c r="O26" i="21"/>
  <c r="O20" i="21"/>
  <c r="AT40" i="19"/>
  <c r="AR1" i="19"/>
  <c r="V39" i="19"/>
  <c r="V40" i="19"/>
  <c r="M1" i="19"/>
  <c r="P41" i="17"/>
  <c r="AF1" i="19"/>
  <c r="AQ42" i="23" s="1"/>
  <c r="AJ38" i="19"/>
  <c r="L40" i="19"/>
  <c r="AV39" i="19"/>
  <c r="AV38" i="19" s="1"/>
  <c r="AV40" i="19"/>
  <c r="AU39" i="19"/>
  <c r="AU40" i="19"/>
  <c r="AI40" i="19"/>
  <c r="AF38" i="19"/>
  <c r="AJ40" i="19"/>
  <c r="AH40" i="19"/>
  <c r="D41" i="19"/>
  <c r="J41" i="19"/>
  <c r="O41" i="19"/>
  <c r="X40" i="19"/>
  <c r="W40" i="19"/>
  <c r="T38" i="19"/>
  <c r="Z41" i="19"/>
  <c r="C41" i="19"/>
  <c r="K40" i="19"/>
  <c r="J40" i="19"/>
  <c r="H41" i="19"/>
  <c r="S41" i="19"/>
  <c r="AI41" i="19"/>
  <c r="D38" i="19"/>
  <c r="G41" i="19"/>
  <c r="L41" i="19"/>
  <c r="W41" i="19"/>
  <c r="AB41" i="19"/>
  <c r="AR41" i="19"/>
  <c r="F41" i="19"/>
  <c r="K41" i="19"/>
  <c r="P41" i="19"/>
  <c r="V41" i="19"/>
  <c r="AA41" i="19"/>
  <c r="AF41" i="19"/>
  <c r="AL41" i="19"/>
  <c r="AQ41" i="19"/>
  <c r="I1" i="19"/>
  <c r="AT42" i="23" s="1"/>
  <c r="AN1" i="19"/>
  <c r="AU42" i="23" s="1"/>
  <c r="T1" i="19"/>
  <c r="B42" i="19" s="1"/>
  <c r="AB1" i="19"/>
  <c r="C42" i="19" s="1"/>
  <c r="T41" i="19"/>
  <c r="AE41" i="19"/>
  <c r="AJ41" i="19"/>
  <c r="AP41" i="19"/>
  <c r="AU41" i="19"/>
  <c r="C35" i="19"/>
  <c r="G35" i="19" s="1"/>
  <c r="K35" i="19" s="1"/>
  <c r="O35" i="19" s="1"/>
  <c r="S35" i="19" s="1"/>
  <c r="W35" i="19" s="1"/>
  <c r="AA35" i="19" s="1"/>
  <c r="AE35" i="19" s="1"/>
  <c r="AI35" i="19" s="1"/>
  <c r="AM35" i="19" s="1"/>
  <c r="AQ35" i="19" s="1"/>
  <c r="AU35" i="19" s="1"/>
  <c r="AU1" i="19" s="1"/>
  <c r="H38" i="19"/>
  <c r="AN38" i="19"/>
  <c r="K39" i="19"/>
  <c r="X39" i="19"/>
  <c r="X41" i="19" s="1"/>
  <c r="AT39" i="19"/>
  <c r="N41" i="19"/>
  <c r="AD41" i="19"/>
  <c r="AN41" i="19"/>
  <c r="AT41" i="19"/>
  <c r="R1" i="19"/>
  <c r="AP42" i="23" s="1"/>
  <c r="AJ1" i="19"/>
  <c r="B35" i="19"/>
  <c r="F35" i="19" s="1"/>
  <c r="J35" i="19" s="1"/>
  <c r="N35" i="19" s="1"/>
  <c r="R35" i="19" s="1"/>
  <c r="V35" i="19" s="1"/>
  <c r="Z35" i="19" s="1"/>
  <c r="AD35" i="19" s="1"/>
  <c r="AH35" i="19" s="1"/>
  <c r="AL35" i="19" s="1"/>
  <c r="AP35" i="19" s="1"/>
  <c r="AT35" i="19" s="1"/>
  <c r="AB38" i="19"/>
  <c r="AR38" i="19"/>
  <c r="J39" i="19"/>
  <c r="W39" i="19"/>
  <c r="AJ39" i="19"/>
  <c r="B41" i="19"/>
  <c r="R41" i="19"/>
  <c r="AH41" i="19"/>
  <c r="AM41" i="19"/>
  <c r="P38" i="19"/>
  <c r="AI39" i="19"/>
  <c r="D35" i="19"/>
  <c r="H35" i="19" s="1"/>
  <c r="L39" i="19"/>
  <c r="L38" i="19" s="1"/>
  <c r="AH39" i="19"/>
  <c r="L41" i="17"/>
  <c r="AV39" i="17"/>
  <c r="AJ39" i="17"/>
  <c r="X39" i="17"/>
  <c r="E27" i="13"/>
  <c r="C27" i="13"/>
  <c r="E26" i="13"/>
  <c r="C26" i="13"/>
  <c r="E25" i="13"/>
  <c r="C25" i="13"/>
  <c r="E24" i="13"/>
  <c r="C24" i="13"/>
  <c r="D57" i="5"/>
  <c r="D49" i="5"/>
  <c r="D40" i="5"/>
  <c r="D34" i="5"/>
  <c r="D19" i="5"/>
  <c r="D10" i="5"/>
  <c r="F57" i="5"/>
  <c r="E57" i="5"/>
  <c r="C57" i="5"/>
  <c r="B57" i="5"/>
  <c r="AF38" i="12"/>
  <c r="AI38" i="12"/>
  <c r="AC38" i="12"/>
  <c r="Z38" i="12"/>
  <c r="W38" i="12"/>
  <c r="T38" i="12"/>
  <c r="Q38" i="12"/>
  <c r="N38" i="12"/>
  <c r="K38" i="12"/>
  <c r="H38" i="12"/>
  <c r="E38" i="12"/>
  <c r="B38" i="12"/>
  <c r="AJ38" i="12"/>
  <c r="AG38" i="12"/>
  <c r="AD38" i="12"/>
  <c r="AA38" i="12"/>
  <c r="X38" i="12"/>
  <c r="U38" i="12"/>
  <c r="R38" i="12"/>
  <c r="O38" i="12"/>
  <c r="L38" i="12"/>
  <c r="I38" i="12"/>
  <c r="F38" i="12"/>
  <c r="C38" i="12"/>
  <c r="AV37" i="17"/>
  <c r="AV36" i="17"/>
  <c r="AR37" i="17"/>
  <c r="AR36" i="17"/>
  <c r="AN37" i="17"/>
  <c r="AN36" i="17"/>
  <c r="AJ37" i="17"/>
  <c r="AJ36" i="17"/>
  <c r="AF37" i="17"/>
  <c r="AF36" i="17"/>
  <c r="AB37" i="17"/>
  <c r="AB36" i="17"/>
  <c r="X37" i="17"/>
  <c r="X36" i="17"/>
  <c r="T37" i="17"/>
  <c r="T36" i="17"/>
  <c r="P37" i="17"/>
  <c r="P36" i="17"/>
  <c r="L37" i="17"/>
  <c r="L36" i="17"/>
  <c r="H37" i="17"/>
  <c r="H36" i="17"/>
  <c r="D35" i="17"/>
  <c r="D36" i="17"/>
  <c r="D37" i="17"/>
  <c r="AU37" i="17"/>
  <c r="AQ37" i="17"/>
  <c r="AM37" i="17"/>
  <c r="AI37" i="17"/>
  <c r="AE37" i="17"/>
  <c r="AA37" i="17"/>
  <c r="W37" i="17"/>
  <c r="S37" i="17"/>
  <c r="O37" i="17"/>
  <c r="K37" i="17"/>
  <c r="G37" i="17"/>
  <c r="AT37" i="17"/>
  <c r="AP37" i="17"/>
  <c r="AL37" i="17"/>
  <c r="AH37" i="17"/>
  <c r="AD37" i="17"/>
  <c r="Z37" i="17"/>
  <c r="V37" i="17"/>
  <c r="R37" i="17"/>
  <c r="N37" i="17"/>
  <c r="J37" i="17"/>
  <c r="F37" i="17"/>
  <c r="C37" i="17"/>
  <c r="B37" i="17"/>
  <c r="AU36" i="17"/>
  <c r="AT36" i="17"/>
  <c r="AQ36" i="17"/>
  <c r="AP36" i="17"/>
  <c r="AM36" i="17"/>
  <c r="AL36" i="17"/>
  <c r="AI36" i="17"/>
  <c r="AH36" i="17"/>
  <c r="AE36" i="17"/>
  <c r="AD36" i="17"/>
  <c r="AA36" i="17"/>
  <c r="Z36" i="17"/>
  <c r="W36" i="17"/>
  <c r="V36" i="17"/>
  <c r="S36" i="17"/>
  <c r="R36" i="17"/>
  <c r="O36" i="17"/>
  <c r="N36" i="17"/>
  <c r="K36" i="17"/>
  <c r="J36" i="17"/>
  <c r="G36" i="17"/>
  <c r="F36" i="17"/>
  <c r="C36" i="17"/>
  <c r="B36" i="17"/>
  <c r="AU34" i="17"/>
  <c r="AT34" i="17"/>
  <c r="AQ34" i="17"/>
  <c r="AP34" i="17"/>
  <c r="AM34" i="17"/>
  <c r="AL34" i="17"/>
  <c r="AI34" i="17"/>
  <c r="AH34" i="17"/>
  <c r="AE34" i="17"/>
  <c r="AD34" i="17"/>
  <c r="AA34" i="17"/>
  <c r="AA38" i="19" s="1"/>
  <c r="Z34" i="17"/>
  <c r="W34" i="17"/>
  <c r="V34" i="17"/>
  <c r="S34" i="17"/>
  <c r="R34" i="17"/>
  <c r="O34" i="17"/>
  <c r="N34" i="17"/>
  <c r="K34" i="17"/>
  <c r="J34" i="17"/>
  <c r="J38" i="19" s="1"/>
  <c r="G34" i="17"/>
  <c r="F34" i="17"/>
  <c r="H38" i="17" s="1"/>
  <c r="C34" i="17"/>
  <c r="B34" i="17"/>
  <c r="AS4" i="17"/>
  <c r="AS5" i="17" s="1"/>
  <c r="AS6" i="17" s="1"/>
  <c r="AS7" i="17" s="1"/>
  <c r="AS8" i="17" s="1"/>
  <c r="AS9" i="17" s="1"/>
  <c r="AS10" i="17" s="1"/>
  <c r="AS11" i="17" s="1"/>
  <c r="AS12" i="17" s="1"/>
  <c r="AS13" i="17" s="1"/>
  <c r="AS14" i="17" s="1"/>
  <c r="AS15" i="17" s="1"/>
  <c r="AS16" i="17" s="1"/>
  <c r="AS17" i="17" s="1"/>
  <c r="AS18" i="17" s="1"/>
  <c r="AS19" i="17" s="1"/>
  <c r="AS20" i="17" s="1"/>
  <c r="AS21" i="17" s="1"/>
  <c r="AS22" i="17" s="1"/>
  <c r="AS23" i="17" s="1"/>
  <c r="AS24" i="17" s="1"/>
  <c r="AS25" i="17" s="1"/>
  <c r="AS26" i="17" s="1"/>
  <c r="AS27" i="17" s="1"/>
  <c r="AS28" i="17" s="1"/>
  <c r="AS29" i="17" s="1"/>
  <c r="AS30" i="17" s="1"/>
  <c r="AS31" i="17" s="1"/>
  <c r="AS32" i="17" s="1"/>
  <c r="AS33" i="17" s="1"/>
  <c r="AO4" i="17"/>
  <c r="AO5" i="17" s="1"/>
  <c r="AO6" i="17" s="1"/>
  <c r="AO7" i="17" s="1"/>
  <c r="AO8" i="17" s="1"/>
  <c r="AO9" i="17" s="1"/>
  <c r="AO10" i="17" s="1"/>
  <c r="AO11" i="17" s="1"/>
  <c r="AO12" i="17" s="1"/>
  <c r="AO13" i="17" s="1"/>
  <c r="AO14" i="17" s="1"/>
  <c r="AO15" i="17" s="1"/>
  <c r="AO16" i="17" s="1"/>
  <c r="AO17" i="17" s="1"/>
  <c r="AO18" i="17" s="1"/>
  <c r="AO19" i="17" s="1"/>
  <c r="AO20" i="17" s="1"/>
  <c r="AO21" i="17" s="1"/>
  <c r="AO22" i="17" s="1"/>
  <c r="AO23" i="17" s="1"/>
  <c r="AO24" i="17" s="1"/>
  <c r="AO25" i="17" s="1"/>
  <c r="AO26" i="17" s="1"/>
  <c r="AO27" i="17" s="1"/>
  <c r="AO28" i="17" s="1"/>
  <c r="AO29" i="17" s="1"/>
  <c r="AO30" i="17" s="1"/>
  <c r="AO31" i="17" s="1"/>
  <c r="AO32" i="17" s="1"/>
  <c r="AK4" i="17"/>
  <c r="AK5" i="17" s="1"/>
  <c r="AK6" i="17" s="1"/>
  <c r="AK7" i="17" s="1"/>
  <c r="AK8" i="17" s="1"/>
  <c r="AK9" i="17" s="1"/>
  <c r="AK10" i="17" s="1"/>
  <c r="AK11" i="17" s="1"/>
  <c r="AK12" i="17" s="1"/>
  <c r="AK13" i="17" s="1"/>
  <c r="AK14" i="17" s="1"/>
  <c r="AK15" i="17" s="1"/>
  <c r="AK16" i="17" s="1"/>
  <c r="AK17" i="17" s="1"/>
  <c r="AK18" i="17" s="1"/>
  <c r="AK19" i="17" s="1"/>
  <c r="AK20" i="17" s="1"/>
  <c r="AK21" i="17" s="1"/>
  <c r="AK22" i="17" s="1"/>
  <c r="AK23" i="17" s="1"/>
  <c r="AK24" i="17" s="1"/>
  <c r="AK25" i="17" s="1"/>
  <c r="AK26" i="17" s="1"/>
  <c r="AK27" i="17" s="1"/>
  <c r="AK28" i="17" s="1"/>
  <c r="AK29" i="17" s="1"/>
  <c r="AK30" i="17" s="1"/>
  <c r="AK31" i="17" s="1"/>
  <c r="AK32" i="17" s="1"/>
  <c r="AK33" i="17" s="1"/>
  <c r="AG4" i="17"/>
  <c r="AG5" i="17" s="1"/>
  <c r="AG6" i="17" s="1"/>
  <c r="AG7" i="17" s="1"/>
  <c r="AG8" i="17" s="1"/>
  <c r="AG9" i="17" s="1"/>
  <c r="AG10" i="17" s="1"/>
  <c r="AG11" i="17" s="1"/>
  <c r="AG12" i="17" s="1"/>
  <c r="AG13" i="17" s="1"/>
  <c r="AG14" i="17" s="1"/>
  <c r="AG15" i="17" s="1"/>
  <c r="AG16" i="17" s="1"/>
  <c r="AG17" i="17" s="1"/>
  <c r="AG18" i="17" s="1"/>
  <c r="AG19" i="17" s="1"/>
  <c r="AG20" i="17" s="1"/>
  <c r="AG21" i="17" s="1"/>
  <c r="AG22" i="17" s="1"/>
  <c r="AG23" i="17" s="1"/>
  <c r="AG24" i="17" s="1"/>
  <c r="AG25" i="17" s="1"/>
  <c r="AG26" i="17" s="1"/>
  <c r="AG27" i="17" s="1"/>
  <c r="AG28" i="17" s="1"/>
  <c r="AG29" i="17" s="1"/>
  <c r="AG30" i="17" s="1"/>
  <c r="AG31" i="17" s="1"/>
  <c r="AG32" i="17" s="1"/>
  <c r="AC4" i="17"/>
  <c r="AC5" i="17" s="1"/>
  <c r="AC6" i="17" s="1"/>
  <c r="AC7" i="17" s="1"/>
  <c r="AC8" i="17" s="1"/>
  <c r="AC9" i="17" s="1"/>
  <c r="AC10" i="17" s="1"/>
  <c r="AC11" i="17" s="1"/>
  <c r="AC12" i="17" s="1"/>
  <c r="AC13" i="17" s="1"/>
  <c r="AC14" i="17" s="1"/>
  <c r="AC15" i="17" s="1"/>
  <c r="AC16" i="17" s="1"/>
  <c r="AC17" i="17" s="1"/>
  <c r="AC18" i="17" s="1"/>
  <c r="AC19" i="17" s="1"/>
  <c r="AC20" i="17" s="1"/>
  <c r="AC21" i="17" s="1"/>
  <c r="AC22" i="17" s="1"/>
  <c r="AC23" i="17" s="1"/>
  <c r="AC24" i="17" s="1"/>
  <c r="AC25" i="17" s="1"/>
  <c r="AC26" i="17" s="1"/>
  <c r="AC27" i="17" s="1"/>
  <c r="AC28" i="17" s="1"/>
  <c r="AC29" i="17" s="1"/>
  <c r="AC30" i="17" s="1"/>
  <c r="AC31" i="17" s="1"/>
  <c r="AC32" i="17" s="1"/>
  <c r="AC33" i="17" s="1"/>
  <c r="Y4" i="17"/>
  <c r="Y5" i="17" s="1"/>
  <c r="Y6" i="17" s="1"/>
  <c r="Y7" i="17" s="1"/>
  <c r="Y8" i="17" s="1"/>
  <c r="Y9" i="17" s="1"/>
  <c r="Y10" i="17" s="1"/>
  <c r="Y11" i="17" s="1"/>
  <c r="Y12" i="17" s="1"/>
  <c r="Y13" i="17" s="1"/>
  <c r="Y14" i="17" s="1"/>
  <c r="Y15" i="17" s="1"/>
  <c r="Y16" i="17" s="1"/>
  <c r="Y17" i="17" s="1"/>
  <c r="Y18" i="17" s="1"/>
  <c r="Y19" i="17" s="1"/>
  <c r="Y20" i="17" s="1"/>
  <c r="Y21" i="17" s="1"/>
  <c r="Y22" i="17" s="1"/>
  <c r="Y23" i="17" s="1"/>
  <c r="Y24" i="17" s="1"/>
  <c r="Y25" i="17" s="1"/>
  <c r="Y26" i="17" s="1"/>
  <c r="Y27" i="17" s="1"/>
  <c r="Y28" i="17" s="1"/>
  <c r="Y29" i="17" s="1"/>
  <c r="Y30" i="17" s="1"/>
  <c r="Y31" i="17" s="1"/>
  <c r="Y32" i="17" s="1"/>
  <c r="Y33" i="17" s="1"/>
  <c r="U4" i="17"/>
  <c r="U5" i="17" s="1"/>
  <c r="U6" i="17" s="1"/>
  <c r="U7" i="17" s="1"/>
  <c r="U8" i="17" s="1"/>
  <c r="U9" i="17" s="1"/>
  <c r="U10" i="17" s="1"/>
  <c r="U11" i="17" s="1"/>
  <c r="U12" i="17" s="1"/>
  <c r="U13" i="17" s="1"/>
  <c r="U14" i="17" s="1"/>
  <c r="U15" i="17" s="1"/>
  <c r="U16" i="17" s="1"/>
  <c r="U17" i="17" s="1"/>
  <c r="U18" i="17" s="1"/>
  <c r="U19" i="17" s="1"/>
  <c r="U20" i="17" s="1"/>
  <c r="U21" i="17" s="1"/>
  <c r="U22" i="17" s="1"/>
  <c r="U23" i="17" s="1"/>
  <c r="U24" i="17" s="1"/>
  <c r="U25" i="17" s="1"/>
  <c r="U26" i="17" s="1"/>
  <c r="U27" i="17" s="1"/>
  <c r="U28" i="17" s="1"/>
  <c r="U29" i="17" s="1"/>
  <c r="U30" i="17" s="1"/>
  <c r="U31" i="17" s="1"/>
  <c r="U32" i="17" s="1"/>
  <c r="Q4" i="17"/>
  <c r="Q5" i="17" s="1"/>
  <c r="Q6" i="17" s="1"/>
  <c r="Q7" i="17" s="1"/>
  <c r="Q8" i="17" s="1"/>
  <c r="Q9" i="17" s="1"/>
  <c r="Q10" i="17" s="1"/>
  <c r="Q11" i="17" s="1"/>
  <c r="Q12" i="17" s="1"/>
  <c r="Q13" i="17" s="1"/>
  <c r="Q14" i="17" s="1"/>
  <c r="Q15" i="17" s="1"/>
  <c r="Q16" i="17" s="1"/>
  <c r="Q17" i="17" s="1"/>
  <c r="Q18" i="17" s="1"/>
  <c r="Q19" i="17" s="1"/>
  <c r="Q20" i="17" s="1"/>
  <c r="Q21" i="17" s="1"/>
  <c r="Q22" i="17" s="1"/>
  <c r="Q23" i="17" s="1"/>
  <c r="Q24" i="17" s="1"/>
  <c r="Q25" i="17" s="1"/>
  <c r="Q26" i="17" s="1"/>
  <c r="Q27" i="17" s="1"/>
  <c r="Q28" i="17" s="1"/>
  <c r="Q29" i="17" s="1"/>
  <c r="Q30" i="17" s="1"/>
  <c r="Q31" i="17" s="1"/>
  <c r="Q32" i="17" s="1"/>
  <c r="Q33" i="17" s="1"/>
  <c r="M4" i="17"/>
  <c r="M5" i="17" s="1"/>
  <c r="M6" i="17" s="1"/>
  <c r="M7" i="17" s="1"/>
  <c r="M8" i="17" s="1"/>
  <c r="M9" i="17" s="1"/>
  <c r="M10" i="17" s="1"/>
  <c r="M11" i="17" s="1"/>
  <c r="M12" i="17" s="1"/>
  <c r="M13" i="17" s="1"/>
  <c r="M14" i="17" s="1"/>
  <c r="M15" i="17" s="1"/>
  <c r="M16" i="17" s="1"/>
  <c r="M17" i="17" s="1"/>
  <c r="M18" i="17" s="1"/>
  <c r="M19" i="17" s="1"/>
  <c r="M20" i="17" s="1"/>
  <c r="M21" i="17" s="1"/>
  <c r="M22" i="17" s="1"/>
  <c r="M23" i="17" s="1"/>
  <c r="M24" i="17" s="1"/>
  <c r="M25" i="17" s="1"/>
  <c r="M26" i="17" s="1"/>
  <c r="M27" i="17" s="1"/>
  <c r="M28" i="17" s="1"/>
  <c r="M29" i="17" s="1"/>
  <c r="M30" i="17" s="1"/>
  <c r="M31" i="17" s="1"/>
  <c r="M32" i="17" s="1"/>
  <c r="I4" i="17"/>
  <c r="I5" i="17" s="1"/>
  <c r="I6" i="17" s="1"/>
  <c r="I7" i="17" s="1"/>
  <c r="I8" i="17" s="1"/>
  <c r="I9" i="17" s="1"/>
  <c r="I10" i="17" s="1"/>
  <c r="I11" i="17" s="1"/>
  <c r="I12" i="17" s="1"/>
  <c r="I13" i="17" s="1"/>
  <c r="I14" i="17" s="1"/>
  <c r="I15" i="17" s="1"/>
  <c r="I16" i="17" s="1"/>
  <c r="I17" i="17" s="1"/>
  <c r="I18" i="17" s="1"/>
  <c r="I19" i="17" s="1"/>
  <c r="I20" i="17" s="1"/>
  <c r="I21" i="17" s="1"/>
  <c r="I22" i="17" s="1"/>
  <c r="I23" i="17" s="1"/>
  <c r="I24" i="17" s="1"/>
  <c r="I25" i="17" s="1"/>
  <c r="I26" i="17" s="1"/>
  <c r="I27" i="17" s="1"/>
  <c r="I28" i="17" s="1"/>
  <c r="I29" i="17" s="1"/>
  <c r="I30" i="17" s="1"/>
  <c r="I31" i="17" s="1"/>
  <c r="I32" i="17" s="1"/>
  <c r="I33" i="17" s="1"/>
  <c r="E4" i="17"/>
  <c r="E5" i="17" s="1"/>
  <c r="E6" i="17" s="1"/>
  <c r="E7" i="17" s="1"/>
  <c r="E8" i="17" s="1"/>
  <c r="E9" i="17" s="1"/>
  <c r="E10" i="17" s="1"/>
  <c r="E11" i="17" s="1"/>
  <c r="E12" i="17" s="1"/>
  <c r="E13" i="17" s="1"/>
  <c r="E14" i="17" s="1"/>
  <c r="E15" i="17" s="1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A4" i="17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I31" i="1"/>
  <c r="I19" i="1"/>
  <c r="I40" i="1"/>
  <c r="I24" i="1"/>
  <c r="I37" i="1"/>
  <c r="AI34" i="12"/>
  <c r="AJ37" i="12"/>
  <c r="AG37" i="12"/>
  <c r="AD37" i="12"/>
  <c r="AA37" i="12"/>
  <c r="X37" i="12"/>
  <c r="U37" i="12"/>
  <c r="R37" i="12"/>
  <c r="AI37" i="12"/>
  <c r="AF37" i="12"/>
  <c r="AC37" i="12"/>
  <c r="Z37" i="12"/>
  <c r="W37" i="12"/>
  <c r="T37" i="12"/>
  <c r="Q37" i="12"/>
  <c r="O37" i="12"/>
  <c r="N37" i="12"/>
  <c r="L37" i="12"/>
  <c r="K37" i="12"/>
  <c r="I37" i="12"/>
  <c r="H37" i="12"/>
  <c r="E37" i="12"/>
  <c r="F37" i="12"/>
  <c r="B37" i="12"/>
  <c r="C37" i="12"/>
  <c r="D15" i="13"/>
  <c r="A10" i="13"/>
  <c r="A18" i="13" s="1"/>
  <c r="B18" i="13" s="1"/>
  <c r="F49" i="5"/>
  <c r="E49" i="5"/>
  <c r="C49" i="5"/>
  <c r="B49" i="5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D4" i="12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G4" i="12"/>
  <c r="G5" i="12" s="1"/>
  <c r="G6" i="12" s="1"/>
  <c r="G7" i="12" s="1"/>
  <c r="G8" i="12" s="1"/>
  <c r="G9" i="12" s="1"/>
  <c r="G10" i="12" s="1"/>
  <c r="G11" i="12" s="1"/>
  <c r="G12" i="12" s="1"/>
  <c r="G13" i="12" s="1"/>
  <c r="G14" i="12" s="1"/>
  <c r="G15" i="12" s="1"/>
  <c r="G16" i="12" s="1"/>
  <c r="G17" i="12" s="1"/>
  <c r="G18" i="12" s="1"/>
  <c r="G19" i="12" s="1"/>
  <c r="G20" i="12" s="1"/>
  <c r="G21" i="12" s="1"/>
  <c r="G22" i="12" s="1"/>
  <c r="G23" i="12" s="1"/>
  <c r="G24" i="12" s="1"/>
  <c r="G25" i="12" s="1"/>
  <c r="G26" i="12" s="1"/>
  <c r="G27" i="12" s="1"/>
  <c r="G28" i="12" s="1"/>
  <c r="G29" i="12" s="1"/>
  <c r="G30" i="12" s="1"/>
  <c r="G31" i="12" s="1"/>
  <c r="G32" i="12" s="1"/>
  <c r="G33" i="12" s="1"/>
  <c r="J4" i="12"/>
  <c r="J5" i="12" s="1"/>
  <c r="J6" i="12" s="1"/>
  <c r="J7" i="12" s="1"/>
  <c r="J8" i="12" s="1"/>
  <c r="J9" i="12" s="1"/>
  <c r="J10" i="12" s="1"/>
  <c r="J11" i="12" s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26" i="12" s="1"/>
  <c r="J27" i="12" s="1"/>
  <c r="J28" i="12" s="1"/>
  <c r="J29" i="12" s="1"/>
  <c r="J30" i="12" s="1"/>
  <c r="J31" i="12" s="1"/>
  <c r="J32" i="12" s="1"/>
  <c r="M4" i="12"/>
  <c r="M5" i="12" s="1"/>
  <c r="M6" i="12" s="1"/>
  <c r="M7" i="12" s="1"/>
  <c r="M8" i="12" s="1"/>
  <c r="M9" i="12" s="1"/>
  <c r="M10" i="12" s="1"/>
  <c r="M11" i="12" s="1"/>
  <c r="M12" i="12" s="1"/>
  <c r="M13" i="12" s="1"/>
  <c r="M14" i="12" s="1"/>
  <c r="M15" i="12" s="1"/>
  <c r="M16" i="12" s="1"/>
  <c r="M17" i="12" s="1"/>
  <c r="M18" i="12" s="1"/>
  <c r="M19" i="12" s="1"/>
  <c r="M20" i="12" s="1"/>
  <c r="M21" i="12" s="1"/>
  <c r="M22" i="12" s="1"/>
  <c r="M23" i="12" s="1"/>
  <c r="M24" i="12" s="1"/>
  <c r="M25" i="12" s="1"/>
  <c r="M26" i="12" s="1"/>
  <c r="M27" i="12" s="1"/>
  <c r="M28" i="12" s="1"/>
  <c r="M29" i="12" s="1"/>
  <c r="M30" i="12" s="1"/>
  <c r="M31" i="12" s="1"/>
  <c r="M32" i="12" s="1"/>
  <c r="M33" i="12" s="1"/>
  <c r="P4" i="12"/>
  <c r="P5" i="12" s="1"/>
  <c r="P6" i="12" s="1"/>
  <c r="P7" i="12" s="1"/>
  <c r="P8" i="12" s="1"/>
  <c r="P9" i="12" s="1"/>
  <c r="P10" i="12" s="1"/>
  <c r="P11" i="12" s="1"/>
  <c r="P12" i="12" s="1"/>
  <c r="P13" i="12" s="1"/>
  <c r="P14" i="12" s="1"/>
  <c r="P15" i="12" s="1"/>
  <c r="P16" i="12" s="1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S4" i="12"/>
  <c r="S5" i="12" s="1"/>
  <c r="S6" i="12" s="1"/>
  <c r="S7" i="12" s="1"/>
  <c r="S8" i="12" s="1"/>
  <c r="S9" i="12" s="1"/>
  <c r="S10" i="12" s="1"/>
  <c r="S11" i="12" s="1"/>
  <c r="S12" i="12" s="1"/>
  <c r="S13" i="12" s="1"/>
  <c r="S14" i="12" s="1"/>
  <c r="S15" i="12" s="1"/>
  <c r="S16" i="12" s="1"/>
  <c r="S17" i="12" s="1"/>
  <c r="S18" i="12" s="1"/>
  <c r="S19" i="12" s="1"/>
  <c r="S20" i="12" s="1"/>
  <c r="S21" i="12" s="1"/>
  <c r="S22" i="12" s="1"/>
  <c r="S23" i="12" s="1"/>
  <c r="S24" i="12" s="1"/>
  <c r="S25" i="12" s="1"/>
  <c r="S26" i="12" s="1"/>
  <c r="S27" i="12" s="1"/>
  <c r="S28" i="12" s="1"/>
  <c r="S29" i="12" s="1"/>
  <c r="S30" i="12" s="1"/>
  <c r="S31" i="12" s="1"/>
  <c r="S32" i="12" s="1"/>
  <c r="S33" i="12" s="1"/>
  <c r="V4" i="12"/>
  <c r="V5" i="12" s="1"/>
  <c r="V6" i="12" s="1"/>
  <c r="V7" i="12" s="1"/>
  <c r="V8" i="12" s="1"/>
  <c r="V9" i="12" s="1"/>
  <c r="V10" i="12" s="1"/>
  <c r="V11" i="12" s="1"/>
  <c r="V12" i="12" s="1"/>
  <c r="V13" i="12" s="1"/>
  <c r="V14" i="12" s="1"/>
  <c r="V15" i="12" s="1"/>
  <c r="V16" i="12" s="1"/>
  <c r="V17" i="12" s="1"/>
  <c r="V18" i="12" s="1"/>
  <c r="V19" i="12" s="1"/>
  <c r="V20" i="12" s="1"/>
  <c r="V21" i="12" s="1"/>
  <c r="V22" i="12" s="1"/>
  <c r="V23" i="12" s="1"/>
  <c r="V24" i="12" s="1"/>
  <c r="V25" i="12" s="1"/>
  <c r="V26" i="12" s="1"/>
  <c r="V27" i="12" s="1"/>
  <c r="V28" i="12" s="1"/>
  <c r="V29" i="12" s="1"/>
  <c r="V30" i="12" s="1"/>
  <c r="V31" i="12" s="1"/>
  <c r="V32" i="12" s="1"/>
  <c r="V33" i="12" s="1"/>
  <c r="Y4" i="12"/>
  <c r="Y5" i="12" s="1"/>
  <c r="Y6" i="12" s="1"/>
  <c r="Y7" i="12" s="1"/>
  <c r="Y8" i="12" s="1"/>
  <c r="Y9" i="12" s="1"/>
  <c r="Y10" i="12" s="1"/>
  <c r="Y11" i="12" s="1"/>
  <c r="Y12" i="12" s="1"/>
  <c r="Y13" i="12" s="1"/>
  <c r="Y14" i="12" s="1"/>
  <c r="Y15" i="12" s="1"/>
  <c r="Y16" i="12" s="1"/>
  <c r="Y17" i="12" s="1"/>
  <c r="Y18" i="12" s="1"/>
  <c r="Y19" i="12" s="1"/>
  <c r="Y20" i="12" s="1"/>
  <c r="Y21" i="12" s="1"/>
  <c r="Y22" i="12" s="1"/>
  <c r="Y23" i="12" s="1"/>
  <c r="Y24" i="12" s="1"/>
  <c r="Y25" i="12" s="1"/>
  <c r="Y26" i="12" s="1"/>
  <c r="Y27" i="12" s="1"/>
  <c r="Y28" i="12" s="1"/>
  <c r="Y29" i="12" s="1"/>
  <c r="Y30" i="12" s="1"/>
  <c r="Y31" i="12" s="1"/>
  <c r="Y32" i="12" s="1"/>
  <c r="AB4" i="12"/>
  <c r="AB5" i="12" s="1"/>
  <c r="AB6" i="12" s="1"/>
  <c r="AB7" i="12" s="1"/>
  <c r="AB8" i="12" s="1"/>
  <c r="AB9" i="12" s="1"/>
  <c r="AB10" i="12" s="1"/>
  <c r="AB11" i="12" s="1"/>
  <c r="AB12" i="12" s="1"/>
  <c r="AB13" i="12" s="1"/>
  <c r="AB14" i="12" s="1"/>
  <c r="AB15" i="12" s="1"/>
  <c r="AB16" i="12" s="1"/>
  <c r="AB17" i="12" s="1"/>
  <c r="AB18" i="12" s="1"/>
  <c r="AB19" i="12" s="1"/>
  <c r="AB20" i="12" s="1"/>
  <c r="AB21" i="12" s="1"/>
  <c r="AB22" i="12" s="1"/>
  <c r="AB23" i="12" s="1"/>
  <c r="AB24" i="12" s="1"/>
  <c r="AB25" i="12" s="1"/>
  <c r="AB26" i="12" s="1"/>
  <c r="AB27" i="12" s="1"/>
  <c r="AB28" i="12" s="1"/>
  <c r="AB29" i="12" s="1"/>
  <c r="AB30" i="12" s="1"/>
  <c r="AB31" i="12" s="1"/>
  <c r="AB32" i="12" s="1"/>
  <c r="AB33" i="12" s="1"/>
  <c r="AE4" i="12"/>
  <c r="AE5" i="12" s="1"/>
  <c r="AE6" i="12" s="1"/>
  <c r="AE7" i="12" s="1"/>
  <c r="AE8" i="12" s="1"/>
  <c r="AE9" i="12" s="1"/>
  <c r="AE10" i="12" s="1"/>
  <c r="AE11" i="12" s="1"/>
  <c r="AE12" i="12" s="1"/>
  <c r="AE13" i="12" s="1"/>
  <c r="AE14" i="12" s="1"/>
  <c r="AE15" i="12" s="1"/>
  <c r="AE16" i="12" s="1"/>
  <c r="AE17" i="12" s="1"/>
  <c r="AE18" i="12" s="1"/>
  <c r="AE19" i="12" s="1"/>
  <c r="AE20" i="12" s="1"/>
  <c r="AE21" i="12" s="1"/>
  <c r="AE22" i="12" s="1"/>
  <c r="AE23" i="12" s="1"/>
  <c r="AE24" i="12" s="1"/>
  <c r="AE25" i="12" s="1"/>
  <c r="AE26" i="12" s="1"/>
  <c r="AE27" i="12" s="1"/>
  <c r="AE28" i="12" s="1"/>
  <c r="AE29" i="12" s="1"/>
  <c r="AE30" i="12" s="1"/>
  <c r="AE31" i="12" s="1"/>
  <c r="AE32" i="12" s="1"/>
  <c r="AH4" i="12"/>
  <c r="AH5" i="12" s="1"/>
  <c r="AH6" i="12" s="1"/>
  <c r="AH7" i="12" s="1"/>
  <c r="AH8" i="12" s="1"/>
  <c r="AH9" i="12" s="1"/>
  <c r="AH10" i="12" s="1"/>
  <c r="AH11" i="12" s="1"/>
  <c r="AH12" i="12" s="1"/>
  <c r="AH13" i="12" s="1"/>
  <c r="AH14" i="12" s="1"/>
  <c r="AH15" i="12" s="1"/>
  <c r="AH16" i="12" s="1"/>
  <c r="AH17" i="12" s="1"/>
  <c r="AH18" i="12" s="1"/>
  <c r="AH19" i="12" s="1"/>
  <c r="AH20" i="12" s="1"/>
  <c r="AH21" i="12" s="1"/>
  <c r="AH22" i="12" s="1"/>
  <c r="AH23" i="12" s="1"/>
  <c r="AH24" i="12" s="1"/>
  <c r="AH25" i="12" s="1"/>
  <c r="AH26" i="12" s="1"/>
  <c r="AH27" i="12" s="1"/>
  <c r="AH28" i="12" s="1"/>
  <c r="AH29" i="12" s="1"/>
  <c r="AH30" i="12" s="1"/>
  <c r="AH31" i="12" s="1"/>
  <c r="AH32" i="12" s="1"/>
  <c r="AH33" i="12" s="1"/>
  <c r="B34" i="12"/>
  <c r="C34" i="12"/>
  <c r="E34" i="12"/>
  <c r="F34" i="12"/>
  <c r="H34" i="12"/>
  <c r="I34" i="12"/>
  <c r="K34" i="12"/>
  <c r="L34" i="12"/>
  <c r="N34" i="12"/>
  <c r="O34" i="12"/>
  <c r="Q34" i="12"/>
  <c r="R34" i="12"/>
  <c r="T34" i="12"/>
  <c r="U34" i="12"/>
  <c r="W34" i="12"/>
  <c r="X34" i="12"/>
  <c r="Z34" i="12"/>
  <c r="AA34" i="12"/>
  <c r="AC34" i="12"/>
  <c r="AD34" i="12"/>
  <c r="AF34" i="12"/>
  <c r="AG34" i="12"/>
  <c r="AJ34" i="12"/>
  <c r="B10" i="5"/>
  <c r="C10" i="5"/>
  <c r="E10" i="5"/>
  <c r="F10" i="5"/>
  <c r="B19" i="5"/>
  <c r="C19" i="5"/>
  <c r="E19" i="5"/>
  <c r="F19" i="5"/>
  <c r="B34" i="5"/>
  <c r="C34" i="5"/>
  <c r="E34" i="5"/>
  <c r="F34" i="5"/>
  <c r="B40" i="5"/>
  <c r="C40" i="5"/>
  <c r="E40" i="5"/>
  <c r="F40" i="5"/>
  <c r="I2" i="1"/>
  <c r="I4" i="1"/>
  <c r="I6" i="1"/>
  <c r="I8" i="1"/>
  <c r="I11" i="1"/>
  <c r="I12" i="1"/>
  <c r="I16" i="1"/>
  <c r="I17" i="1"/>
  <c r="I21" i="1"/>
  <c r="I20" i="1"/>
  <c r="I22" i="1"/>
  <c r="I23" i="1"/>
  <c r="I25" i="1"/>
  <c r="I26" i="1"/>
  <c r="I27" i="1"/>
  <c r="I29" i="1"/>
  <c r="I32" i="1"/>
  <c r="I33" i="1"/>
  <c r="I34" i="1"/>
  <c r="I38" i="1"/>
  <c r="I35" i="1"/>
  <c r="I36" i="1"/>
  <c r="I41" i="1"/>
  <c r="N3" i="5" l="1"/>
  <c r="P3" i="5"/>
  <c r="AL42" i="17"/>
  <c r="C35" i="12"/>
  <c r="AD40" i="12"/>
  <c r="C38" i="19"/>
  <c r="AM42" i="17"/>
  <c r="B35" i="12"/>
  <c r="AC40" i="12"/>
  <c r="D38" i="17"/>
  <c r="G43" i="19"/>
  <c r="AU43" i="23"/>
  <c r="Z39" i="12"/>
  <c r="G38" i="17"/>
  <c r="H36" i="12"/>
  <c r="K38" i="17"/>
  <c r="AR1" i="17"/>
  <c r="F38" i="19"/>
  <c r="AB38" i="17"/>
  <c r="Z38" i="19"/>
  <c r="AJ38" i="17"/>
  <c r="AH38" i="19"/>
  <c r="O38" i="17"/>
  <c r="O38" i="19"/>
  <c r="W38" i="17"/>
  <c r="W38" i="19"/>
  <c r="AE38" i="17"/>
  <c r="AE38" i="19"/>
  <c r="AM38" i="17"/>
  <c r="AM38" i="19"/>
  <c r="AU38" i="17"/>
  <c r="AU38" i="19"/>
  <c r="B38" i="19"/>
  <c r="K38" i="19"/>
  <c r="T38" i="17"/>
  <c r="R38" i="19"/>
  <c r="P38" i="17"/>
  <c r="N38" i="19"/>
  <c r="X38" i="17"/>
  <c r="V38" i="19"/>
  <c r="AF38" i="17"/>
  <c r="AD38" i="19"/>
  <c r="AN38" i="17"/>
  <c r="AL38" i="19"/>
  <c r="AV38" i="17"/>
  <c r="AT38" i="19"/>
  <c r="C38" i="17"/>
  <c r="G38" i="19"/>
  <c r="AR38" i="17"/>
  <c r="AP38" i="19"/>
  <c r="S38" i="17"/>
  <c r="S38" i="19"/>
  <c r="AI38" i="17"/>
  <c r="AI38" i="19"/>
  <c r="AQ38" i="17"/>
  <c r="AQ38" i="19"/>
  <c r="B38" i="17"/>
  <c r="X38" i="19"/>
  <c r="AV41" i="19"/>
  <c r="L35" i="19"/>
  <c r="P35" i="19" s="1"/>
  <c r="T35" i="19" s="1"/>
  <c r="X35" i="19" s="1"/>
  <c r="AB35" i="19" s="1"/>
  <c r="AF35" i="19" s="1"/>
  <c r="AJ35" i="19" s="1"/>
  <c r="AN35" i="19" s="1"/>
  <c r="AR35" i="19" s="1"/>
  <c r="AV35" i="19" s="1"/>
  <c r="AP43" i="23" s="1"/>
  <c r="C43" i="19"/>
  <c r="E1" i="19"/>
  <c r="F43" i="19" s="1"/>
  <c r="AU39" i="17"/>
  <c r="AI39" i="17"/>
  <c r="AA38" i="17"/>
  <c r="W39" i="17"/>
  <c r="J38" i="17"/>
  <c r="L38" i="17"/>
  <c r="AJ40" i="17"/>
  <c r="AH38" i="17"/>
  <c r="AP38" i="17"/>
  <c r="AT39" i="17"/>
  <c r="AD38" i="17"/>
  <c r="AL38" i="17"/>
  <c r="AT38" i="17"/>
  <c r="AH39" i="17"/>
  <c r="Z38" i="17"/>
  <c r="V38" i="17"/>
  <c r="R38" i="17"/>
  <c r="N38" i="17"/>
  <c r="V39" i="17"/>
  <c r="J39" i="17"/>
  <c r="T41" i="17"/>
  <c r="K39" i="17"/>
  <c r="F38" i="17"/>
  <c r="L39" i="17"/>
  <c r="D41" i="17"/>
  <c r="W40" i="17"/>
  <c r="X40" i="17"/>
  <c r="AI40" i="17"/>
  <c r="AU40" i="17"/>
  <c r="AV40" i="17"/>
  <c r="AH41" i="17"/>
  <c r="AF41" i="17"/>
  <c r="AV41" i="17"/>
  <c r="AB41" i="17"/>
  <c r="AR41" i="17"/>
  <c r="H41" i="17"/>
  <c r="X41" i="17"/>
  <c r="AN41" i="17"/>
  <c r="AJ41" i="17"/>
  <c r="C41" i="17"/>
  <c r="G41" i="17"/>
  <c r="W41" i="17"/>
  <c r="AM41" i="17"/>
  <c r="S41" i="17"/>
  <c r="AI41" i="17"/>
  <c r="O41" i="17"/>
  <c r="AE41" i="17"/>
  <c r="AU41" i="17"/>
  <c r="K41" i="17"/>
  <c r="AA41" i="17"/>
  <c r="AQ41" i="17"/>
  <c r="N41" i="17"/>
  <c r="AD41" i="17"/>
  <c r="AT41" i="17"/>
  <c r="J41" i="17"/>
  <c r="Z41" i="17"/>
  <c r="AP41" i="17"/>
  <c r="F41" i="17"/>
  <c r="V41" i="17"/>
  <c r="AL41" i="17"/>
  <c r="R41" i="17"/>
  <c r="AT40" i="17"/>
  <c r="AH40" i="17"/>
  <c r="V40" i="17"/>
  <c r="B41" i="17"/>
  <c r="L40" i="17"/>
  <c r="AA39" i="12"/>
  <c r="L39" i="12"/>
  <c r="X39" i="12"/>
  <c r="AJ39" i="12"/>
  <c r="I39" i="12"/>
  <c r="U39" i="12"/>
  <c r="AG39" i="12"/>
  <c r="F39" i="12"/>
  <c r="R39" i="12"/>
  <c r="AD39" i="12"/>
  <c r="C39" i="12"/>
  <c r="O39" i="12"/>
  <c r="K39" i="12"/>
  <c r="W39" i="12"/>
  <c r="AI39" i="12"/>
  <c r="E39" i="12"/>
  <c r="T39" i="12"/>
  <c r="AF39" i="12"/>
  <c r="H39" i="12"/>
  <c r="Q39" i="12"/>
  <c r="AC39" i="12"/>
  <c r="B39" i="12"/>
  <c r="N39" i="12"/>
  <c r="J40" i="17"/>
  <c r="C40" i="12"/>
  <c r="AI36" i="12"/>
  <c r="B40" i="12"/>
  <c r="K40" i="17"/>
  <c r="W1" i="12"/>
  <c r="O1" i="12"/>
  <c r="AJ1" i="17"/>
  <c r="AB1" i="17"/>
  <c r="C42" i="17" s="1"/>
  <c r="T1" i="17"/>
  <c r="B42" i="17" s="1"/>
  <c r="AF1" i="17"/>
  <c r="AN1" i="17"/>
  <c r="H35" i="17"/>
  <c r="L35" i="17" s="1"/>
  <c r="P35" i="17" s="1"/>
  <c r="T35" i="17" s="1"/>
  <c r="X35" i="17" s="1"/>
  <c r="AB35" i="17" s="1"/>
  <c r="AF35" i="17" s="1"/>
  <c r="AJ35" i="17" s="1"/>
  <c r="AN35" i="17" s="1"/>
  <c r="AR35" i="17" s="1"/>
  <c r="AV35" i="17" s="1"/>
  <c r="M1" i="17"/>
  <c r="R1" i="17"/>
  <c r="AP42" i="17" s="1"/>
  <c r="I1" i="17"/>
  <c r="B35" i="17"/>
  <c r="F35" i="17" s="1"/>
  <c r="J35" i="17" s="1"/>
  <c r="N35" i="17" s="1"/>
  <c r="R35" i="17" s="1"/>
  <c r="V35" i="17" s="1"/>
  <c r="Z35" i="17" s="1"/>
  <c r="AD35" i="17" s="1"/>
  <c r="AH35" i="17" s="1"/>
  <c r="AL35" i="17" s="1"/>
  <c r="AP35" i="17" s="1"/>
  <c r="AT35" i="17" s="1"/>
  <c r="C35" i="17"/>
  <c r="G35" i="17" s="1"/>
  <c r="K35" i="17" s="1"/>
  <c r="O35" i="17" s="1"/>
  <c r="S35" i="17" s="1"/>
  <c r="W35" i="17" s="1"/>
  <c r="AA35" i="17" s="1"/>
  <c r="AE35" i="17" s="1"/>
  <c r="AI35" i="17" s="1"/>
  <c r="AM35" i="17" s="1"/>
  <c r="AQ35" i="17" s="1"/>
  <c r="AU35" i="17" s="1"/>
  <c r="AJ36" i="12"/>
  <c r="AA36" i="12"/>
  <c r="I36" i="12"/>
  <c r="Z36" i="12"/>
  <c r="AA1" i="12"/>
  <c r="K1" i="12"/>
  <c r="R36" i="12"/>
  <c r="Q36" i="12"/>
  <c r="G1" i="12"/>
  <c r="AE1" i="12"/>
  <c r="C18" i="13"/>
  <c r="D18" i="13" s="1"/>
  <c r="E18" i="13" s="1"/>
  <c r="F18" i="13"/>
  <c r="E35" i="12"/>
  <c r="H35" i="12" s="1"/>
  <c r="K35" i="12" s="1"/>
  <c r="N35" i="12" s="1"/>
  <c r="Q35" i="12" s="1"/>
  <c r="T35" i="12" s="1"/>
  <c r="W35" i="12" s="1"/>
  <c r="Z35" i="12" s="1"/>
  <c r="AC35" i="12" s="1"/>
  <c r="AF35" i="12" s="1"/>
  <c r="AI35" i="12" s="1"/>
  <c r="F35" i="12"/>
  <c r="I35" i="12" s="1"/>
  <c r="L35" i="12" s="1"/>
  <c r="O35" i="12" s="1"/>
  <c r="R35" i="12" s="1"/>
  <c r="U35" i="12" s="1"/>
  <c r="X35" i="12" s="1"/>
  <c r="AA35" i="12" s="1"/>
  <c r="AD35" i="12" s="1"/>
  <c r="AG35" i="12" s="1"/>
  <c r="AJ35" i="12" s="1"/>
  <c r="S12" i="13" l="1"/>
  <c r="AQ42" i="17"/>
  <c r="K43" i="19"/>
  <c r="K42" i="19"/>
  <c r="AT42" i="17"/>
  <c r="J42" i="19"/>
  <c r="J43" i="19"/>
  <c r="B1" i="19"/>
  <c r="AL43" i="19" s="1"/>
  <c r="AQ43" i="23" s="1"/>
  <c r="AP43" i="19"/>
  <c r="AU42" i="17"/>
  <c r="AU1" i="17"/>
  <c r="AP42" i="19"/>
  <c r="AT42" i="19"/>
  <c r="AU42" i="19"/>
  <c r="AQ42" i="19"/>
  <c r="B43" i="19"/>
  <c r="AI1" i="12"/>
  <c r="C41" i="12"/>
  <c r="C1" i="12"/>
  <c r="B41" i="12"/>
  <c r="B1" i="17"/>
  <c r="AL43" i="17" s="1"/>
  <c r="E1" i="17"/>
  <c r="G18" i="13"/>
  <c r="A15" i="13" s="1"/>
  <c r="D16" i="13" s="1"/>
  <c r="E16" i="13" s="1"/>
  <c r="G34" i="13" l="1"/>
  <c r="B33" i="13"/>
  <c r="AQ43" i="19"/>
  <c r="F43" i="17"/>
  <c r="J42" i="17" s="1"/>
  <c r="AT43" i="23"/>
  <c r="C43" i="17"/>
  <c r="G43" i="17"/>
  <c r="AU43" i="19"/>
  <c r="F40" i="12"/>
  <c r="AU43" i="17"/>
  <c r="AT43" i="17"/>
  <c r="AT43" i="19"/>
  <c r="B43" i="17"/>
  <c r="F16" i="13"/>
  <c r="G16" i="13" s="1"/>
  <c r="N8" i="13" l="1"/>
  <c r="O7" i="13"/>
  <c r="O8" i="13"/>
  <c r="J43" i="17"/>
  <c r="N18" i="13"/>
  <c r="N7" i="13"/>
  <c r="K43" i="17"/>
  <c r="K42" i="17"/>
  <c r="A12" i="13"/>
  <c r="A13" i="13"/>
  <c r="D4" i="13" s="1"/>
  <c r="A14" i="13"/>
  <c r="F4" i="13" s="1"/>
</calcChain>
</file>

<file path=xl/comments1.xml><?xml version="1.0" encoding="utf-8"?>
<comments xmlns="http://schemas.openxmlformats.org/spreadsheetml/2006/main">
  <authors>
    <author>FAN</author>
    <author>fan</author>
  </authors>
  <commentList>
    <comment ref="D1" authorId="0">
      <text>
        <r>
          <rPr>
            <sz val="9"/>
            <color indexed="81"/>
            <rFont val="Tahoma"/>
            <family val="2"/>
          </rPr>
          <t>Höhenmeter</t>
        </r>
      </text>
    </comment>
    <comment ref="H1" authorId="1">
      <text>
        <r>
          <rPr>
            <sz val="9"/>
            <color indexed="81"/>
            <rFont val="Tahoma"/>
            <family val="2"/>
          </rPr>
          <t>MTB = Mountainbike
RR = Rennrad
FB = Fitness-Bike
CR = Crossrad</t>
        </r>
      </text>
    </comment>
    <comment ref="I1" authorId="0">
      <text>
        <r>
          <rPr>
            <sz val="9"/>
            <color indexed="81"/>
            <rFont val="Tahoma"/>
            <charset val="1"/>
          </rPr>
          <t>Ø Steigung nach ½ Strecke</t>
        </r>
      </text>
    </comment>
    <comment ref="K1" authorId="0">
      <text>
        <r>
          <rPr>
            <sz val="9"/>
            <color indexed="81"/>
            <rFont val="Tahoma"/>
            <family val="2"/>
          </rPr>
          <t>Bewertung Häufigkeit
 Gold - Oft gefahren
 Silber - Selten gefahren
 Bronze - Einmal gefahren</t>
        </r>
      </text>
    </comment>
    <comment ref="L1" authorId="0">
      <text>
        <r>
          <rPr>
            <sz val="9"/>
            <color indexed="81"/>
            <rFont val="Tahoma"/>
            <family val="2"/>
          </rPr>
          <t>Bewertung Verkehr
 Gold - Wenig Verkehr RR / Wenig Asphalt MTB
 Silber - Normaler Verkehr RR / Hälfte Asphalt MTB
 Bronze - Viel Verkehr RR / Überwiegend Asphalt MTB</t>
        </r>
      </text>
    </comment>
    <comment ref="M1" authorId="0">
      <text>
        <r>
          <rPr>
            <sz val="9"/>
            <color indexed="81"/>
            <rFont val="Tahoma"/>
            <family val="2"/>
          </rPr>
          <t xml:space="preserve">Bewertung Strecke
 Gold - Wenige Kreuzungen RR / Flüssige Wege MTB
 Silber - Einige Kreuzungen RR / Teils Rampen, schlechte Wege MTB
 Bronze - Viele Kreuzungen, Ortsdurchfahrten RR / Steile Rampen, verblockte Wege MTB
</t>
        </r>
      </text>
    </comment>
    <comment ref="N1" authorId="0">
      <text>
        <r>
          <rPr>
            <sz val="9"/>
            <color indexed="81"/>
            <rFont val="Tahoma"/>
            <family val="2"/>
          </rPr>
          <t xml:space="preserve">Bewertung Landschaft
 Gold
 Silber
 Bronze
</t>
        </r>
      </text>
    </comment>
    <comment ref="O1" authorId="0">
      <text>
        <r>
          <rPr>
            <sz val="9"/>
            <color indexed="81"/>
            <rFont val="Tahoma"/>
            <family val="2"/>
          </rPr>
          <t>Gesamtnote
 - Gold
 - Silber
 - Bronze</t>
        </r>
      </text>
    </comment>
    <comment ref="A2" authorId="0">
      <text>
        <r>
          <rPr>
            <sz val="10"/>
            <color indexed="81"/>
            <rFont val="Tahoma"/>
            <family val="2"/>
          </rPr>
          <t xml:space="preserve">Weilbach, Amorbach, Buch, Mudau, Oberscheidental, Wagenschwend Pass (540), Strümpfelbrunn, Waldkatzenbach, Katzenbuckel (626), </t>
        </r>
        <r>
          <rPr>
            <b/>
            <sz val="10"/>
            <color indexed="81"/>
            <rFont val="Tahoma"/>
            <family val="2"/>
          </rPr>
          <t>Aussichtsturm (644 max)</t>
        </r>
      </text>
    </comment>
    <comment ref="G2" authorId="0">
      <text>
        <r>
          <rPr>
            <sz val="9"/>
            <color indexed="81"/>
            <rFont val="Tahoma"/>
            <family val="2"/>
          </rPr>
          <t>644 Turm</t>
        </r>
      </text>
    </comment>
    <comment ref="A3" authorId="0">
      <text>
        <r>
          <rPr>
            <sz val="9"/>
            <color indexed="81"/>
            <rFont val="Tahoma"/>
            <charset val="1"/>
          </rPr>
          <t xml:space="preserve">Breitendiel, Weilbach, Amorbach, Buch, Mudau, Oberscheidental, Strümpfelbrunn, Waldkatzenbach, </t>
        </r>
        <r>
          <rPr>
            <sz val="9"/>
            <color indexed="81"/>
            <rFont val="Tahoma"/>
            <family val="2"/>
          </rPr>
          <t>Katzenbuckel,</t>
        </r>
        <r>
          <rPr>
            <b/>
            <sz val="9"/>
            <color indexed="81"/>
            <rFont val="Tahoma"/>
            <family val="2"/>
          </rPr>
          <t xml:space="preserve"> Aussichtspunkt Königsstuhlblick (600 max)</t>
        </r>
      </text>
    </comment>
    <comment ref="G3" authorId="0">
      <text>
        <r>
          <rPr>
            <sz val="9"/>
            <color indexed="81"/>
            <rFont val="Tahoma"/>
            <family val="2"/>
          </rPr>
          <t>572 Teer</t>
        </r>
      </text>
    </comment>
    <comment ref="A4" authorId="1">
      <text>
        <r>
          <rPr>
            <sz val="9"/>
            <color indexed="81"/>
            <rFont val="Tahoma"/>
            <family val="2"/>
          </rPr>
          <t xml:space="preserve">Großheubach, Röllbach, Mönchberg, Eschau, Hobbach, Neuhammer, Dammbach, Rohrbrunn, </t>
        </r>
        <r>
          <rPr>
            <b/>
            <sz val="9"/>
            <color indexed="81"/>
            <rFont val="Tahoma"/>
            <family val="2"/>
          </rPr>
          <t>Geiersberg "Breitsohl" (586 max)</t>
        </r>
      </text>
    </comment>
    <comment ref="A5" authorId="1">
      <text>
        <r>
          <rPr>
            <sz val="9"/>
            <color indexed="81"/>
            <rFont val="Tahoma"/>
            <charset val="1"/>
          </rPr>
          <t xml:space="preserve">Weilbach, Amorbach - Buch (Radweg), Buch - Mudau (Radweg), Oberscheidental, Wagenschwend Pass (540), </t>
        </r>
        <r>
          <rPr>
            <b/>
            <sz val="9"/>
            <color indexed="81"/>
            <rFont val="Tahoma"/>
            <family val="2"/>
          </rPr>
          <t>Markgrafenwald (585 max)</t>
        </r>
        <r>
          <rPr>
            <sz val="9"/>
            <color indexed="81"/>
            <rFont val="Tahoma"/>
            <charset val="1"/>
          </rPr>
          <t xml:space="preserve"> &amp; retour (Normalweg)</t>
        </r>
      </text>
    </comment>
    <comment ref="B5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3:18:00 Brutto (14 Minuten Pause)</t>
        </r>
      </text>
    </comment>
    <comment ref="G5" authorId="1">
      <text>
        <r>
          <rPr>
            <sz val="9"/>
            <color indexed="81"/>
            <rFont val="Tahoma"/>
            <family val="2"/>
          </rPr>
          <t>590 Hochsitz</t>
        </r>
      </text>
    </comment>
    <comment ref="A6" authorId="1">
      <text>
        <r>
          <rPr>
            <sz val="9"/>
            <color indexed="81"/>
            <rFont val="Tahoma"/>
            <family val="2"/>
          </rPr>
          <t xml:space="preserve">Weilbach, Amorbach, Pulvermühle, Buch, Mudau, Scheidental, Reisenbach, </t>
        </r>
        <r>
          <rPr>
            <b/>
            <sz val="9"/>
            <color indexed="81"/>
            <rFont val="Tahoma"/>
            <family val="2"/>
          </rPr>
          <t>Sendeturm/Gipfelkreuz/Hart (581 max)</t>
        </r>
      </text>
    </comment>
    <comment ref="A7" authorId="1">
      <text>
        <r>
          <rPr>
            <sz val="9"/>
            <color indexed="81"/>
            <rFont val="Tahoma"/>
            <charset val="1"/>
          </rPr>
          <t xml:space="preserve">Breitendiel, Weilbach, Amorbach, Beuchen, Steinbach, Mudau, Scheidental, </t>
        </r>
        <r>
          <rPr>
            <b/>
            <sz val="9"/>
            <color indexed="81"/>
            <rFont val="Tahoma"/>
            <family val="2"/>
          </rPr>
          <t>Reisenberg (568 max)</t>
        </r>
        <r>
          <rPr>
            <sz val="9"/>
            <color indexed="81"/>
            <rFont val="Tahoma"/>
            <charset val="1"/>
          </rPr>
          <t xml:space="preserve"> &amp; retour</t>
        </r>
      </text>
    </comment>
    <comment ref="A8" authorId="1">
      <text>
        <r>
          <rPr>
            <sz val="9"/>
            <color indexed="81"/>
            <rFont val="Tahoma"/>
            <family val="2"/>
          </rPr>
          <t xml:space="preserve">Weilbach, Boxbrunn, Mangelsbach, Würzberg, Bullauer Bild, </t>
        </r>
        <r>
          <rPr>
            <b/>
            <sz val="9"/>
            <color indexed="81"/>
            <rFont val="Tahoma"/>
            <family val="2"/>
          </rPr>
          <t>Kohlwald (560 max)</t>
        </r>
        <r>
          <rPr>
            <sz val="9"/>
            <color indexed="81"/>
            <rFont val="Tahoma"/>
            <family val="2"/>
          </rPr>
          <t xml:space="preserve"> &amp; retour</t>
        </r>
      </text>
    </comment>
    <comment ref="A9" authorId="1">
      <text>
        <r>
          <rPr>
            <sz val="9"/>
            <color indexed="81"/>
            <rFont val="Tahoma"/>
            <family val="2"/>
          </rPr>
          <t xml:space="preserve">Miltenberg - MIL 17: Radweg, Preunschen, Mörschenhard, Schloßau, </t>
        </r>
        <r>
          <rPr>
            <b/>
            <sz val="9"/>
            <color indexed="81"/>
            <rFont val="Tahoma"/>
            <family val="2"/>
          </rPr>
          <t>Kinzert (554 max)</t>
        </r>
        <r>
          <rPr>
            <sz val="9"/>
            <color indexed="81"/>
            <rFont val="Tahoma"/>
            <family val="2"/>
          </rPr>
          <t xml:space="preserve"> &amp; Retour</t>
        </r>
      </text>
    </comment>
    <comment ref="A10" authorId="1">
      <text>
        <r>
          <rPr>
            <sz val="9"/>
            <color indexed="81"/>
            <rFont val="Tahoma"/>
            <charset val="1"/>
          </rPr>
          <t xml:space="preserve">Miltenberg - Kirchzell: Radweg, Ottorfszell, Ernsttal, Seitzenbuche, </t>
        </r>
        <r>
          <rPr>
            <sz val="9"/>
            <color indexed="81"/>
            <rFont val="Tahoma"/>
            <family val="2"/>
          </rPr>
          <t>Limesweg,</t>
        </r>
        <r>
          <rPr>
            <b/>
            <sz val="9"/>
            <color indexed="81"/>
            <rFont val="Tahoma"/>
            <family val="2"/>
          </rPr>
          <t xml:space="preserve"> Röm. Wachposten Hohwald (553 max)
</t>
        </r>
        <r>
          <rPr>
            <sz val="8"/>
            <color indexed="81"/>
            <rFont val="Tahoma"/>
            <family val="2"/>
          </rPr>
          <t>Sa 2014-07-19 9:00 - 11:30 20 - 30 °C
Sa 2015-11-14 10:00 - 13:00 10 °C</t>
        </r>
      </text>
    </comment>
    <comment ref="A11" authorId="1">
      <text>
        <r>
          <rPr>
            <sz val="9"/>
            <color indexed="81"/>
            <rFont val="Tahoma"/>
            <family val="2"/>
          </rPr>
          <t xml:space="preserve">Weilbach, Amorbach, Kirchzell, Ottorfszell, Ernsttal, Schloßau, </t>
        </r>
        <r>
          <rPr>
            <b/>
            <sz val="9"/>
            <color indexed="81"/>
            <rFont val="Tahoma"/>
            <family val="2"/>
          </rPr>
          <t>Kinzertweg (547 max)</t>
        </r>
      </text>
    </comment>
    <comment ref="A12" authorId="1">
      <text>
        <r>
          <rPr>
            <sz val="9"/>
            <color indexed="81"/>
            <rFont val="Tahoma"/>
            <family val="2"/>
          </rPr>
          <t xml:space="preserve">Weilbach, Boxbrunn, Eulbach, Würzberg, </t>
        </r>
        <r>
          <rPr>
            <b/>
            <sz val="9"/>
            <color indexed="81"/>
            <rFont val="Tahoma"/>
            <family val="2"/>
          </rPr>
          <t>Wasserhaus/Mies/Roter Buckel (544 max)</t>
        </r>
      </text>
    </comment>
    <comment ref="A13" authorId="1">
      <text>
        <r>
          <rPr>
            <sz val="9"/>
            <color indexed="81"/>
            <rFont val="Tahoma"/>
            <charset val="1"/>
          </rPr>
          <t>Miltenberg - Amorbach: Radweg, Pulvermühle, Kirchzell, Ottorfszell, Ernsttal,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Schloßau Hochbehälter (532 max), </t>
        </r>
        <r>
          <rPr>
            <sz val="9"/>
            <color indexed="81"/>
            <rFont val="Tahoma"/>
            <family val="2"/>
          </rPr>
          <t>Mörschenhard, Preunschen, Buch &amp; retour</t>
        </r>
      </text>
    </comment>
    <comment ref="A14" authorId="1">
      <text>
        <r>
          <rPr>
            <sz val="9"/>
            <color indexed="81"/>
            <rFont val="Tahoma"/>
            <charset val="1"/>
          </rPr>
          <t xml:space="preserve">Miltenberg, Weilbach, Amorbach, Pulvermühle, Kirchzell, Ottorfszell, Ernsttal, </t>
        </r>
        <r>
          <rPr>
            <b/>
            <sz val="9"/>
            <color indexed="81"/>
            <rFont val="Tahoma"/>
            <family val="2"/>
          </rPr>
          <t>Schloßau Hohe Straße (530 max)</t>
        </r>
        <r>
          <rPr>
            <sz val="9"/>
            <color indexed="81"/>
            <rFont val="Tahoma"/>
            <charset val="1"/>
          </rPr>
          <t xml:space="preserve"> &amp; Retour
</t>
        </r>
        <r>
          <rPr>
            <sz val="8"/>
            <color indexed="81"/>
            <rFont val="Tahoma"/>
            <family val="2"/>
          </rPr>
          <t>Ostersonntag 2015-04-05, 8:30 - 10:40, 0 - 5 °C, klar - sehr sonnig, 0.75ℓ</t>
        </r>
      </text>
    </comment>
    <comment ref="A15" authorId="1">
      <text>
        <r>
          <rPr>
            <sz val="9"/>
            <color indexed="81"/>
            <rFont val="Tahoma"/>
            <charset val="1"/>
          </rPr>
          <t xml:space="preserve">Radweg bis Ünglert (397), Donebach Sender (519), </t>
        </r>
        <r>
          <rPr>
            <b/>
            <sz val="9"/>
            <color indexed="81"/>
            <rFont val="Tahoma"/>
            <family val="2"/>
          </rPr>
          <t>Nasses Feld/Waldkapelle Schlossau (527 max)</t>
        </r>
      </text>
    </comment>
    <comment ref="A16" authorId="0">
      <text>
        <r>
          <rPr>
            <sz val="9"/>
            <color indexed="81"/>
            <rFont val="Tahoma"/>
            <family val="2"/>
          </rPr>
          <t>Großheubach, Röllbach, Mönchberg, Eschau, Hobbach, Höllhammer, Dammbach, Oberwintersbach, Geishöhe (521),</t>
        </r>
        <r>
          <rPr>
            <b/>
            <sz val="9"/>
            <color indexed="81"/>
            <rFont val="Tahoma"/>
            <family val="2"/>
          </rPr>
          <t xml:space="preserve"> Ludwig-Keller-Turm (535 max)</t>
        </r>
      </text>
    </comment>
    <comment ref="G16" authorId="0">
      <text>
        <r>
          <rPr>
            <sz val="9"/>
            <color indexed="81"/>
            <rFont val="Tahoma"/>
            <family val="2"/>
          </rPr>
          <t>523 Sender
535 Turm</t>
        </r>
      </text>
    </comment>
    <comment ref="A17" authorId="1">
      <text>
        <r>
          <rPr>
            <sz val="10"/>
            <color indexed="81"/>
            <rFont val="Tahoma"/>
            <family val="2"/>
          </rPr>
          <t xml:space="preserve">Breitendiel, Weilbach, Boxbrunn, </t>
        </r>
        <r>
          <rPr>
            <b/>
            <sz val="10"/>
            <color indexed="81"/>
            <rFont val="Tahoma"/>
            <family val="2"/>
          </rPr>
          <t>Eulbach/Englischer Garten (516 max)</t>
        </r>
        <r>
          <rPr>
            <sz val="10"/>
            <color indexed="81"/>
            <rFont val="Tahoma"/>
            <family val="2"/>
          </rPr>
          <t xml:space="preserve"> &amp; Retour</t>
        </r>
      </text>
    </comment>
    <comment ref="A18" authorId="0">
      <text>
        <r>
          <rPr>
            <sz val="9"/>
            <color indexed="81"/>
            <rFont val="Tahoma"/>
            <family val="2"/>
          </rPr>
          <t xml:space="preserve">Breitendiel, Weilbach, Amorbach, Buch, Mudau, Parkplatz an der L524 Richtung Oberscheidental, </t>
        </r>
        <r>
          <rPr>
            <b/>
            <sz val="9"/>
            <color indexed="81"/>
            <rFont val="Tahoma"/>
            <family val="2"/>
          </rPr>
          <t>Parkplatz (513 max)</t>
        </r>
      </text>
    </comment>
    <comment ref="A19" authorId="0">
      <text>
        <r>
          <rPr>
            <sz val="9"/>
            <color indexed="81"/>
            <rFont val="Tahoma"/>
            <charset val="1"/>
          </rPr>
          <t xml:space="preserve">Radweg Kleinheubach, Großheubach, Klotzenhof, Schredderplatz Röllbach, Eselsweg, </t>
        </r>
        <r>
          <rPr>
            <b/>
            <sz val="9"/>
            <color indexed="81"/>
            <rFont val="Tahoma"/>
            <family val="2"/>
          </rPr>
          <t>Geiersberg/Gipfelkreuz (512 max)</t>
        </r>
      </text>
    </comment>
    <comment ref="A20" authorId="0">
      <text>
        <r>
          <rPr>
            <sz val="9"/>
            <color indexed="81"/>
            <rFont val="Tahoma"/>
            <family val="2"/>
          </rPr>
          <t xml:space="preserve">Weilbach, Neidhof, Boxbrunn (500), </t>
        </r>
        <r>
          <rPr>
            <b/>
            <sz val="9"/>
            <color indexed="81"/>
            <rFont val="Tahoma"/>
            <family val="2"/>
          </rPr>
          <t>Feldweg (505 max)</t>
        </r>
      </text>
    </comment>
    <comment ref="G20" authorId="0">
      <text>
        <r>
          <rPr>
            <sz val="9"/>
            <color indexed="81"/>
            <rFont val="Tahoma"/>
            <charset val="1"/>
          </rPr>
          <t>500 Teer</t>
        </r>
      </text>
    </comment>
    <comment ref="A21" authorId="0">
      <text>
        <r>
          <rPr>
            <sz val="9"/>
            <color indexed="81"/>
            <rFont val="Tahoma"/>
            <family val="2"/>
          </rPr>
          <t xml:space="preserve">Breitendiel, Weilbach, Amorbach, Otterbach, </t>
        </r>
        <r>
          <rPr>
            <b/>
            <sz val="9"/>
            <color indexed="81"/>
            <rFont val="Tahoma"/>
            <family val="2"/>
          </rPr>
          <t>Emichshöhe (505 max)</t>
        </r>
      </text>
    </comment>
    <comment ref="A22" authorId="0">
      <text>
        <r>
          <rPr>
            <sz val="9"/>
            <color indexed="81"/>
            <rFont val="Tahoma"/>
            <charset val="1"/>
          </rPr>
          <t>Nur Rad- und Waldwege
Alternative: Radweg bis B47: 27,9 km 391 Hm</t>
        </r>
      </text>
    </comment>
    <comment ref="A23" authorId="0">
      <text>
        <r>
          <rPr>
            <sz val="9"/>
            <color indexed="81"/>
            <rFont val="Tahoma"/>
            <charset val="1"/>
          </rPr>
          <t>B469, B47
Alternative "Russenpfad" Straße ab: 27,0 km; 400 Hm; 1:45</t>
        </r>
      </text>
    </comment>
    <comment ref="A24" authorId="0">
      <text>
        <r>
          <rPr>
            <sz val="9"/>
            <color indexed="81"/>
            <rFont val="Tahoma"/>
            <charset val="1"/>
          </rPr>
          <t xml:space="preserve">Großheubach, Klotzenhof, </t>
        </r>
        <r>
          <rPr>
            <b/>
            <sz val="9"/>
            <color indexed="81"/>
            <rFont val="Tahoma"/>
            <family val="2"/>
          </rPr>
          <t>Schöllesberg (482 max)</t>
        </r>
      </text>
    </comment>
    <comment ref="A25" authorId="0">
      <text>
        <r>
          <rPr>
            <sz val="9"/>
            <color indexed="81"/>
            <rFont val="Tahoma"/>
            <charset val="1"/>
          </rPr>
          <t xml:space="preserve">Radweg Bürgstadt, Erfbrücke, </t>
        </r>
        <r>
          <rPr>
            <sz val="9"/>
            <color indexed="81"/>
            <rFont val="Tahoma"/>
            <family val="2"/>
          </rPr>
          <t>Zentgrafenkapelle,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Wannenberg/Gipfelkreuz (482 max)</t>
        </r>
      </text>
    </comment>
    <comment ref="A26" authorId="0">
      <text>
        <r>
          <rPr>
            <sz val="9"/>
            <color indexed="81"/>
            <rFont val="Tahoma"/>
            <charset val="1"/>
          </rPr>
          <t xml:space="preserve">Normalweg: Monbrunner Siedlung, Hartungsweg, M1, W3, </t>
        </r>
        <r>
          <rPr>
            <b/>
            <sz val="9"/>
            <color indexed="81"/>
            <rFont val="Tahoma"/>
            <family val="2"/>
          </rPr>
          <t>Sendeturm (481 max)</t>
        </r>
      </text>
    </comment>
    <comment ref="G26" authorId="0">
      <text>
        <r>
          <rPr>
            <sz val="9"/>
            <color indexed="81"/>
            <rFont val="Tahoma"/>
            <charset val="1"/>
          </rPr>
          <t>485 Wasserhaus</t>
        </r>
      </text>
    </comment>
    <comment ref="A28" authorId="1">
      <text>
        <r>
          <rPr>
            <sz val="9"/>
            <color indexed="81"/>
            <rFont val="Tahoma"/>
            <charset val="1"/>
          </rPr>
          <t xml:space="preserve">Miltenberg - Schneeberg: Radweg, Zittenfelden, Hettigenbeuern, Hornbacher Steige </t>
        </r>
        <r>
          <rPr>
            <i/>
            <u/>
            <sz val="9"/>
            <color indexed="81"/>
            <rFont val="Tahoma"/>
            <family val="2"/>
          </rPr>
          <t>(22% max Steigung auf 2,0 km)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Bandholz (471 max)</t>
        </r>
        <r>
          <rPr>
            <sz val="9"/>
            <color indexed="81"/>
            <rFont val="Tahoma"/>
            <charset val="1"/>
          </rPr>
          <t xml:space="preserve">, Hambrunn, Schneeberg &amp; retour
</t>
        </r>
        <r>
          <rPr>
            <sz val="8"/>
            <color indexed="81"/>
            <rFont val="Tahoma"/>
            <family val="2"/>
          </rPr>
          <t>Mit Pass: 40,0 km; 540 Hm; über Rippberg: 38,8 km; 510 Hm</t>
        </r>
      </text>
    </comment>
    <comment ref="G29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Schutzwall Schiesstand BJV</t>
        </r>
      </text>
    </comment>
    <comment ref="A30" authorId="1">
      <text>
        <r>
          <rPr>
            <sz val="9"/>
            <color indexed="81"/>
            <rFont val="Tahoma"/>
            <charset val="1"/>
          </rPr>
          <t xml:space="preserve">Breitendiel, Weilbach, Amorbach, Buch, - gesperrte MIL 42 -, Radweg, </t>
        </r>
        <r>
          <rPr>
            <b/>
            <sz val="9"/>
            <color indexed="81"/>
            <rFont val="Tahoma"/>
            <family val="2"/>
          </rPr>
          <t>Dicke Hecken (468 max)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>Samstag 2016-08-06, 9:00 - 11:30, 18 - 20 °C, Wolkig</t>
        </r>
      </text>
    </comment>
    <comment ref="A31" authorId="0">
      <text>
        <r>
          <rPr>
            <sz val="9"/>
            <color indexed="81"/>
            <rFont val="Tahoma"/>
            <charset val="1"/>
          </rPr>
          <t xml:space="preserve">Radweg Weilbach, Amorbach, vor Neudorf am Waldrand rechts Weg aufwärts, geradeaus, </t>
        </r>
        <r>
          <rPr>
            <b/>
            <sz val="9"/>
            <color indexed="81"/>
            <rFont val="Tahoma"/>
            <family val="2"/>
          </rPr>
          <t xml:space="preserve">Wasserhaus (468)
</t>
        </r>
        <r>
          <rPr>
            <sz val="8"/>
            <color indexed="81"/>
            <rFont val="Tahoma"/>
            <family val="2"/>
          </rPr>
          <t>Sendeturm Straße: 26,03 km; 352 Hm</t>
        </r>
      </text>
    </comment>
    <comment ref="G31" authorId="0">
      <text>
        <r>
          <rPr>
            <sz val="9"/>
            <color indexed="81"/>
            <rFont val="Tahoma"/>
            <family val="2"/>
          </rPr>
          <t>468 Max (Wasserhaus)
462 Teer (Sendemast)</t>
        </r>
      </text>
    </comment>
    <comment ref="A32" authorId="1">
      <text>
        <r>
          <rPr>
            <sz val="9"/>
            <color indexed="81"/>
            <rFont val="Tahoma"/>
            <family val="2"/>
          </rPr>
          <t>Springerquelle, Ohne Ortsberührung via "Gänseweg"</t>
        </r>
      </text>
    </comment>
    <comment ref="A35" authorId="0">
      <text>
        <r>
          <rPr>
            <sz val="9"/>
            <color indexed="81"/>
            <rFont val="Tahoma"/>
            <family val="2"/>
          </rPr>
          <t xml:space="preserve">Großheubach, Klotzenhof, Ospis, </t>
        </r>
        <r>
          <rPr>
            <b/>
            <sz val="9"/>
            <color indexed="81"/>
            <rFont val="Tahoma"/>
            <family val="2"/>
          </rPr>
          <t xml:space="preserve">Gipfelkreuz (441)
</t>
        </r>
        <r>
          <rPr>
            <sz val="8"/>
            <color indexed="81"/>
            <rFont val="Tahoma"/>
            <family val="2"/>
          </rPr>
          <t>Alternative über Rühlesberg: 23,90 km 370 Hm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Alternative über R-Weg, Mainhölle, Eselsweg: 23,04 km 390 Hm</t>
        </r>
      </text>
    </comment>
    <comment ref="G35" authorId="0">
      <text>
        <r>
          <rPr>
            <sz val="9"/>
            <color indexed="81"/>
            <rFont val="Tahoma"/>
            <charset val="1"/>
          </rPr>
          <t>441 Gipfelkreuz</t>
        </r>
      </text>
    </comment>
    <comment ref="A36" authorId="1">
      <text>
        <r>
          <rPr>
            <sz val="9"/>
            <color indexed="81"/>
            <rFont val="Tahoma"/>
            <charset val="1"/>
          </rPr>
          <t>Normalweg Wiesenthaler Felsen</t>
        </r>
      </text>
    </comment>
    <comment ref="A37" authorId="0">
      <text>
        <r>
          <rPr>
            <sz val="9"/>
            <color indexed="81"/>
            <rFont val="Tahoma"/>
            <charset val="1"/>
          </rPr>
          <t xml:space="preserve">Radweg Kleinheubach, Großheubach, Promilleweg, R-Weg, Eselsweg, Oberer Rühlesbergweg, Eselsweg, </t>
        </r>
        <r>
          <rPr>
            <b/>
            <sz val="9"/>
            <color indexed="81"/>
            <rFont val="Tahoma"/>
            <family val="2"/>
          </rPr>
          <t>Hunnenstein (426 max)</t>
        </r>
      </text>
    </comment>
    <comment ref="A38" authorId="0">
      <text>
        <r>
          <rPr>
            <sz val="9"/>
            <color indexed="81"/>
            <rFont val="Tahoma"/>
            <charset val="1"/>
          </rPr>
          <t xml:space="preserve">Zwischen Rüdenau und Laudenbach; </t>
        </r>
        <r>
          <rPr>
            <u/>
            <sz val="9"/>
            <color indexed="81"/>
            <rFont val="Tahoma"/>
            <family val="2"/>
          </rPr>
          <t>Alter Weg:</t>
        </r>
        <r>
          <rPr>
            <sz val="9"/>
            <color indexed="81"/>
            <rFont val="Tahoma"/>
            <charset val="1"/>
          </rPr>
          <t xml:space="preserve"> Rüdenau, Winnetalweg, Landelweg; </t>
        </r>
        <r>
          <rPr>
            <u/>
            <sz val="9"/>
            <color indexed="81"/>
            <rFont val="Tahoma"/>
            <family val="2"/>
          </rPr>
          <t>Normalweg:</t>
        </r>
        <r>
          <rPr>
            <sz val="9"/>
            <color indexed="81"/>
            <rFont val="Tahoma"/>
            <charset val="1"/>
          </rPr>
          <t xml:space="preserve"> Kleinheubach, Schützenhaus, </t>
        </r>
        <r>
          <rPr>
            <b/>
            <sz val="9"/>
            <color indexed="81"/>
            <rFont val="Tahoma"/>
            <family val="2"/>
          </rPr>
          <t xml:space="preserve">Alte Ruhe (418 max)
</t>
        </r>
        <r>
          <rPr>
            <sz val="8"/>
            <color indexed="81"/>
            <rFont val="Tahoma"/>
            <family val="2"/>
          </rPr>
          <t>Normalweg: 14,74 km 365 Hm</t>
        </r>
      </text>
    </comment>
    <comment ref="A39" authorId="1">
      <text>
        <r>
          <rPr>
            <sz val="9"/>
            <color indexed="81"/>
            <rFont val="Tahoma"/>
            <charset val="1"/>
          </rPr>
          <t xml:space="preserve">Radweg Kleinheubach, Großheubach, Promilleweg, R-Weg, Eselsweg, </t>
        </r>
        <r>
          <rPr>
            <b/>
            <sz val="9"/>
            <color indexed="81"/>
            <rFont val="Tahoma"/>
            <family val="2"/>
          </rPr>
          <t>Oberer Rühlesbergweg (401 max)</t>
        </r>
        <r>
          <rPr>
            <sz val="9"/>
            <color indexed="81"/>
            <rFont val="Tahoma"/>
            <charset val="1"/>
          </rPr>
          <t xml:space="preserve"> </t>
        </r>
      </text>
    </comment>
    <comment ref="A40" authorId="1">
      <text>
        <r>
          <rPr>
            <sz val="9"/>
            <color indexed="81"/>
            <rFont val="Tahoma"/>
            <charset val="1"/>
          </rPr>
          <t>Über Bettler &amp; Schützenhaus Kleinheubach</t>
        </r>
      </text>
    </comment>
    <comment ref="A41" authorId="1">
      <text>
        <r>
          <rPr>
            <sz val="9"/>
            <color indexed="81"/>
            <rFont val="Tahoma"/>
            <charset val="1"/>
          </rPr>
          <t xml:space="preserve">Normalweg.
</t>
        </r>
        <r>
          <rPr>
            <u/>
            <sz val="9"/>
            <color indexed="81"/>
            <rFont val="Tahoma"/>
            <family val="2"/>
          </rPr>
          <t>Alternativen:</t>
        </r>
        <r>
          <rPr>
            <sz val="9"/>
            <color indexed="81"/>
            <rFont val="Tahoma"/>
            <charset val="1"/>
          </rPr>
          <t xml:space="preserve">
- Über NSG hin+ zurück: 27,20 km; 260 Hm; 1:36
- Über Paradeismühle &amp; Rosspfad hin + zurück: 42,36 km; 330 Hm; 2:12</t>
        </r>
      </text>
    </comment>
    <comment ref="G41" authorId="0">
      <text>
        <r>
          <rPr>
            <sz val="9"/>
            <color indexed="81"/>
            <rFont val="Tahoma"/>
            <family val="2"/>
          </rPr>
          <t>330 Teer ⌂</t>
        </r>
      </text>
    </comment>
    <comment ref="A42" authorId="1">
      <text>
        <r>
          <rPr>
            <sz val="9"/>
            <color indexed="81"/>
            <rFont val="Tahoma"/>
            <charset val="1"/>
          </rPr>
          <t xml:space="preserve">Hausberg Röllfeld. Miltenberg - Röllfeld: </t>
        </r>
        <r>
          <rPr>
            <i/>
            <sz val="9"/>
            <color indexed="81"/>
            <rFont val="Tahoma"/>
            <family val="2"/>
          </rPr>
          <t>Radweg (122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Steig (306 max)</t>
        </r>
        <r>
          <rPr>
            <sz val="9"/>
            <color indexed="81"/>
            <rFont val="Tahoma"/>
            <charset val="1"/>
          </rPr>
          <t xml:space="preserve"> &amp; retour</t>
        </r>
      </text>
    </comment>
    <comment ref="D42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Trigonometrisch</t>
        </r>
      </text>
    </comment>
    <comment ref="A43" authorId="1">
      <text>
        <r>
          <rPr>
            <sz val="9"/>
            <color indexed="81"/>
            <rFont val="Tahoma"/>
            <charset val="1"/>
          </rPr>
          <t xml:space="preserve">Breitendiel, Weilbach, </t>
        </r>
        <r>
          <rPr>
            <b/>
            <sz val="9"/>
            <color indexed="81"/>
            <rFont val="Tahoma"/>
            <family val="2"/>
          </rPr>
          <t xml:space="preserve">Frankenberg (304 max)
</t>
        </r>
        <r>
          <rPr>
            <sz val="9"/>
            <color indexed="81"/>
            <rFont val="Tahoma"/>
            <family val="2"/>
          </rPr>
          <t>+Reuenthal: 17,17 km 200 Hm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2014-01-11 3°C</t>
        </r>
      </text>
    </comment>
    <comment ref="G43" authorId="1">
      <text>
        <r>
          <rPr>
            <sz val="9"/>
            <color indexed="81"/>
            <rFont val="Tahoma"/>
            <family val="2"/>
          </rPr>
          <t>Turm 314 "Siebentälerblick"</t>
        </r>
      </text>
    </comment>
    <comment ref="A44" authorId="1">
      <text>
        <r>
          <rPr>
            <sz val="9"/>
            <color indexed="81"/>
            <rFont val="Tahoma"/>
            <charset val="1"/>
          </rPr>
          <t xml:space="preserve">Nur </t>
        </r>
        <r>
          <rPr>
            <i/>
            <sz val="9"/>
            <color indexed="81"/>
            <rFont val="Tahoma"/>
            <family val="2"/>
          </rPr>
          <t>Radweg (122 min)</t>
        </r>
        <r>
          <rPr>
            <sz val="9"/>
            <color indexed="81"/>
            <rFont val="Tahoma"/>
            <charset val="1"/>
          </rPr>
          <t xml:space="preserve"> an Paradeismühle &amp; Röllbach vorbei zum </t>
        </r>
        <r>
          <rPr>
            <b/>
            <sz val="9"/>
            <color indexed="81"/>
            <rFont val="Tahoma"/>
            <family val="2"/>
          </rPr>
          <t xml:space="preserve">Reffelsberg (261 max)
</t>
        </r>
        <r>
          <rPr>
            <sz val="8"/>
            <color indexed="81"/>
            <rFont val="Tahoma"/>
            <family val="2"/>
          </rPr>
          <t xml:space="preserve">Donnerstag 2014-06-12 9:40 - 11:20 Bedeckt 20 °C
</t>
        </r>
        <r>
          <rPr>
            <sz val="9"/>
            <color indexed="81"/>
            <rFont val="Tahoma"/>
            <family val="2"/>
          </rPr>
          <t>Alternative Herrnbrunngraben (Steinbruch) 31 km</t>
        </r>
      </text>
    </comment>
    <comment ref="G44" authorId="1">
      <text>
        <r>
          <rPr>
            <sz val="9"/>
            <color indexed="81"/>
            <rFont val="Tahoma"/>
            <family val="2"/>
          </rPr>
          <t>Hochsitz 263</t>
        </r>
      </text>
    </comment>
  </commentList>
</comments>
</file>

<file path=xl/comments10.xml><?xml version="1.0" encoding="utf-8"?>
<comments xmlns="http://schemas.openxmlformats.org/spreadsheetml/2006/main">
  <authors>
    <author>fan</author>
    <author>FAN</author>
    <author>HP</author>
  </authors>
  <commentList>
    <comment ref="F1" authorId="0">
      <text>
        <r>
          <rPr>
            <b/>
            <sz val="8"/>
            <color indexed="81"/>
            <rFont val="Tahoma"/>
          </rPr>
          <t>fan:</t>
        </r>
        <r>
          <rPr>
            <sz val="8"/>
            <color indexed="81"/>
            <rFont val="Tahoma"/>
          </rPr>
          <t xml:space="preserve">
</t>
        </r>
        <r>
          <rPr>
            <sz val="9"/>
            <color indexed="81"/>
            <rFont val="Tahoma"/>
            <family val="2"/>
          </rPr>
          <t>Starthöhe immer 130 m (Normalstartpunkt)</t>
        </r>
      </text>
    </comment>
    <comment ref="G1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Theoretisch erreichte Höhe ab Starthöhe 130</t>
        </r>
      </text>
    </comment>
    <comment ref="H1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Die theoretische Höhe entspricht dieser Region</t>
        </r>
      </text>
    </comment>
    <comment ref="A2" authorId="0">
      <text>
        <r>
          <rPr>
            <sz val="9"/>
            <color indexed="81"/>
            <rFont val="Tahoma"/>
            <charset val="1"/>
          </rPr>
          <t>Samstag 2013-07-13, 10:00 - 14:50, 1 * Verpflegung, 2 * Springerquelle, 4 * 0.75ℓ, 20 - 25 °C, Beste Bedingungen</t>
        </r>
      </text>
    </comment>
    <comment ref="A3" authorId="1">
      <text>
        <r>
          <rPr>
            <sz val="9"/>
            <color indexed="81"/>
            <rFont val="Tahoma"/>
            <charset val="1"/>
          </rPr>
          <t>Sonntag 2010-07-25; Start 6:50 à 10 °C; Ende 11:10 à 20 °C; 4:20 Brutto; 1 * 10 Min Pause</t>
        </r>
      </text>
    </comment>
    <comment ref="A4" authorId="1">
      <text>
        <r>
          <rPr>
            <sz val="9"/>
            <color indexed="81"/>
            <rFont val="Tahoma"/>
            <charset val="1"/>
          </rPr>
          <t>Samstag 2009-09-26; Start 9:00 à 8 °C; Ende 13:00 à 20 °C; 4:00 Brutto; 2 * 15 Min Pause</t>
        </r>
      </text>
    </comment>
    <comment ref="A8" authorId="2">
      <text>
        <r>
          <rPr>
            <sz val="8"/>
            <color indexed="81"/>
            <rFont val="Tahoma"/>
            <family val="2"/>
          </rPr>
          <t>Samstag 2017-05-27 8:50 - 11:50, 14 - 20 °C, Sonnig, Lang-Kurz, 1.5 ℓ, 1 Riegel</t>
        </r>
      </text>
    </comment>
    <comment ref="A23" authorId="0">
      <text>
        <r>
          <rPr>
            <sz val="9"/>
            <color indexed="81"/>
            <rFont val="Tahoma"/>
            <family val="2"/>
          </rPr>
          <t>Runde ca. 9,6 km; 200 Hm; 30 Min
1R = 14,8 km; 330 Hm; 0:50
2R = 24,4 km; 530 Hm; 1:20
3R = 34,0 km; 730 Hm; 1:50
4R = 43,6 km; 930 Hm; 2:20
5R = 53,2 km; 1130 Hm; 2:50</t>
        </r>
      </text>
    </comment>
    <comment ref="A24" authorId="1">
      <text>
        <r>
          <rPr>
            <sz val="9"/>
            <color indexed="81"/>
            <rFont val="Tahoma"/>
            <family val="2"/>
          </rPr>
          <t>Runde ca. 10,7 km; 310 Hm; 35 min</t>
        </r>
      </text>
    </comment>
    <comment ref="F24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Min Höhe 128 Mudweg</t>
        </r>
      </text>
    </comment>
    <comment ref="A25" authorId="0">
      <text>
        <r>
          <rPr>
            <sz val="9"/>
            <color indexed="81"/>
            <rFont val="Tahoma"/>
            <charset val="1"/>
          </rPr>
          <t>Runde ca. 8,8 km; 266 Hm; 35 Min
385 Hm über Laudenbach-Wellig</t>
        </r>
      </text>
    </comment>
    <comment ref="F25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min Höhe 128 (Laudenbach)
Wende 150 (Laudenbach)
max Höhe 416 (Bremhof-Pass)
Hin: Main-Radweg
Zurück: Kleinheubach Rüdenauer Straße</t>
        </r>
      </text>
    </comment>
    <comment ref="A26" authorId="1">
      <text>
        <r>
          <rPr>
            <sz val="9"/>
            <color indexed="81"/>
            <rFont val="Tahoma"/>
            <family val="2"/>
          </rPr>
          <t>Runde ca. 7,0 km; 230 Hm; 30 min
1R max: 10,6 km; 310 Hm</t>
        </r>
      </text>
    </comment>
    <comment ref="A34" authorId="0">
      <text>
        <r>
          <rPr>
            <sz val="9"/>
            <color indexed="81"/>
            <rFont val="Tahoma"/>
            <charset val="1"/>
          </rPr>
          <t>Runde ca. 3,3 km; 130 Hm; 13 Min;
Hinfahrt: Kreisel, Rückfahrt: Ampel
Montag Ruhetag</t>
        </r>
      </text>
    </comment>
    <comment ref="F34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Min Höhe 125 (Großheubach)
Wende 140 (Kreisel)
Max Höhe 270 (Parkplatz)</t>
        </r>
      </text>
    </comment>
    <comment ref="A39" authorId="1">
      <text>
        <r>
          <rPr>
            <sz val="9"/>
            <color indexed="81"/>
            <rFont val="Tahoma"/>
            <family val="2"/>
          </rPr>
          <t>Runde ca. 5,7 km; 70 Hm; 15 Min (In/Out: 2,56 km)
1R: 8,26 km; 70 Hm
2R: 13,96 km; 140 Hm
3R: 19,66 km; 210 Hm
4R: 25,36 km; 280 Hm
5R: 31,06 km; 350 Hm
6R: 36,76 km; 420 Hm</t>
        </r>
      </text>
    </comment>
    <comment ref="A41" authorId="1">
      <text>
        <r>
          <rPr>
            <sz val="9"/>
            <color indexed="81"/>
            <rFont val="Tahoma"/>
            <family val="2"/>
          </rPr>
          <t>Runde ca. 4,6 km; 25 Hm; 12 Min
0R =   6,8 km; 15 Hm
1R = 11,4 km; 40 Hm; 0:30
2R = 16,0 km; 65 Hm; 0:42
3R = 20,6 km; 90 Hm; 0:54
4R = 25,2 km; 115 Hm; 1:06
5R = 29,8 km; 140 Hm; 1:18
6R = 34,4 km; 165 Hm; 1:30
7R = 39,0 km; 190 Hm; 1:42
8R = 43,6 km; 215 Hm; 1:54
9R = 48,2 km; 240 Hm; 2:06
10 = 52,8 km; 265 Hm; 2:18</t>
        </r>
      </text>
    </comment>
  </commentList>
</comments>
</file>

<file path=xl/comments11.xml><?xml version="1.0" encoding="utf-8"?>
<comments xmlns="http://schemas.openxmlformats.org/spreadsheetml/2006/main">
  <authors>
    <author>fan</author>
    <author>FAN</author>
  </authors>
  <commentList>
    <comment ref="I1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AB = Aschaffenburg-Biker
SB = Spessart-Biker
EB = Eichenbühl-Biker
BB = Bürgstadt-Biker
WB = Wörth-Biker</t>
        </r>
      </text>
    </comment>
    <comment ref="A2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Aschaffenburg (140 min)</t>
        </r>
        <r>
          <rPr>
            <sz val="9"/>
            <color indexed="81"/>
            <rFont val="Tahoma"/>
            <charset val="1"/>
          </rPr>
          <t xml:space="preserve">, Schmerlenbach, </t>
        </r>
        <r>
          <rPr>
            <b/>
            <sz val="9"/>
            <color indexed="81"/>
            <rFont val="Tahoma"/>
            <family val="2"/>
          </rPr>
          <t>Pass (256)</t>
        </r>
        <r>
          <rPr>
            <sz val="9"/>
            <color indexed="81"/>
            <rFont val="Tahoma"/>
            <charset val="1"/>
          </rPr>
          <t xml:space="preserve">, Hösbach-Bahnhof, </t>
        </r>
        <r>
          <rPr>
            <i/>
            <sz val="9"/>
            <color indexed="81"/>
            <rFont val="Tahoma"/>
            <family val="2"/>
          </rPr>
          <t>Aschaff (153)</t>
        </r>
        <r>
          <rPr>
            <sz val="9"/>
            <color indexed="81"/>
            <rFont val="Tahoma"/>
            <charset val="1"/>
          </rPr>
          <t xml:space="preserve">, Weiberhof, Sailauf, </t>
        </r>
        <r>
          <rPr>
            <b/>
            <sz val="9"/>
            <color indexed="81"/>
            <rFont val="Tahoma"/>
            <family val="2"/>
          </rPr>
          <t>Spessart Höhenstraße (500)</t>
        </r>
        <r>
          <rPr>
            <sz val="9"/>
            <color indexed="81"/>
            <rFont val="Tahoma"/>
            <charset val="1"/>
          </rPr>
          <t xml:space="preserve">, Engländerhaus (470), Jakobsthal, Heigenbrücken, </t>
        </r>
        <r>
          <rPr>
            <i/>
            <sz val="9"/>
            <color indexed="81"/>
            <rFont val="Tahoma"/>
            <family val="2"/>
          </rPr>
          <t>Neuhütten (266)</t>
        </r>
        <r>
          <rPr>
            <sz val="9"/>
            <color indexed="81"/>
            <rFont val="Tahoma"/>
            <charset val="1"/>
          </rPr>
          <t xml:space="preserve">, Bischborner Hof, </t>
        </r>
        <r>
          <rPr>
            <b/>
            <sz val="9"/>
            <color indexed="81"/>
            <rFont val="Tahoma"/>
            <family val="2"/>
          </rPr>
          <t>Pass (480)</t>
        </r>
        <r>
          <rPr>
            <sz val="9"/>
            <color indexed="81"/>
            <rFont val="Tahoma"/>
            <charset val="1"/>
          </rPr>
          <t xml:space="preserve">, Lichtenau, Erlenfurt, Einsiedel, Lindenfurterhof, Torhaus Breitfurt, Windheim, </t>
        </r>
        <r>
          <rPr>
            <i/>
            <sz val="9"/>
            <color indexed="81"/>
            <rFont val="Tahoma"/>
            <family val="2"/>
          </rPr>
          <t>Hafenlohr (165)</t>
        </r>
        <r>
          <rPr>
            <sz val="9"/>
            <color indexed="81"/>
            <rFont val="Tahoma"/>
            <charset val="1"/>
          </rPr>
          <t xml:space="preserve">, Marienbrunn, Esselbach, </t>
        </r>
        <r>
          <rPr>
            <b/>
            <sz val="9"/>
            <color indexed="81"/>
            <rFont val="Tahoma"/>
            <family val="2"/>
          </rPr>
          <t>Pass (373)</t>
        </r>
        <r>
          <rPr>
            <sz val="9"/>
            <color indexed="81"/>
            <rFont val="Tahoma"/>
            <charset val="1"/>
          </rPr>
          <t xml:space="preserve">, Michelrieth, </t>
        </r>
        <r>
          <rPr>
            <i/>
            <sz val="9"/>
            <color indexed="81"/>
            <rFont val="Tahoma"/>
            <family val="2"/>
          </rPr>
          <t>Lehmgrube Hasloch-Bach (180)</t>
        </r>
        <r>
          <rPr>
            <sz val="9"/>
            <color indexed="81"/>
            <rFont val="Tahoma"/>
            <charset val="1"/>
          </rPr>
          <t xml:space="preserve">, Schollbrunn, </t>
        </r>
        <r>
          <rPr>
            <b/>
            <sz val="9"/>
            <color indexed="81"/>
            <rFont val="Tahoma"/>
            <family val="2"/>
          </rPr>
          <t>Spessart Hochstraße (555 max)</t>
        </r>
        <r>
          <rPr>
            <sz val="9"/>
            <color indexed="81"/>
            <rFont val="Tahoma"/>
            <charset val="1"/>
          </rPr>
          <t xml:space="preserve">, Rohrbrunn, "Jockel" Echterspfahl (494), Hessenthal, </t>
        </r>
        <r>
          <rPr>
            <i/>
            <sz val="9"/>
            <color indexed="81"/>
            <rFont val="Tahoma"/>
            <family val="2"/>
          </rPr>
          <t>Elsava (305)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Pass (370)</t>
        </r>
        <r>
          <rPr>
            <sz val="9"/>
            <color indexed="81"/>
            <rFont val="Tahoma"/>
            <charset val="1"/>
          </rPr>
          <t>, Oberbessenbach, S</t>
        </r>
        <r>
          <rPr>
            <i/>
            <sz val="9"/>
            <color indexed="81"/>
            <rFont val="Tahoma"/>
            <family val="2"/>
          </rPr>
          <t>traßbessenbach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Haibach (282)</t>
        </r>
        <r>
          <rPr>
            <sz val="9"/>
            <color indexed="81"/>
            <rFont val="Tahoma"/>
            <charset val="1"/>
          </rPr>
          <t xml:space="preserve">, Aschaffenburg
</t>
        </r>
        <r>
          <rPr>
            <sz val="8"/>
            <color indexed="81"/>
            <rFont val="Tahoma"/>
            <family val="2"/>
          </rPr>
          <t>Samstag 2012-03-24, 12 - 21 °C, Komplett-Bruttozeit 7:15 h (08:45 Klh. - 16:00 Mil.)</t>
        </r>
      </text>
    </comment>
    <comment ref="D2" authorId="0">
      <text>
        <r>
          <rPr>
            <b/>
            <u/>
            <sz val="9"/>
            <color indexed="81"/>
            <rFont val="Tahoma"/>
            <family val="2"/>
          </rPr>
          <t xml:space="preserve">7 Hauptanstiege
</t>
        </r>
        <r>
          <rPr>
            <sz val="9"/>
            <color indexed="81"/>
            <rFont val="Tahoma"/>
            <family val="2"/>
          </rPr>
          <t>116 A'Burg - Schmerlenbach
347 Aschaff - Engländer
214 Neuhütten - Bischborner Hof
208 Hafenlohr - Michelrieth
375 Lehmgrube - Hohe Warte
065 Elsava - Oberbessenbach
102 Straßbessenbach - Haibach</t>
        </r>
      </text>
    </comment>
    <comment ref="F2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Alexandrastraße</t>
        </r>
      </text>
    </comment>
    <comment ref="G2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Spessarthochstraße</t>
        </r>
      </text>
    </comment>
    <comment ref="K2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in Aschaffenburg</t>
        </r>
      </text>
    </comment>
    <comment ref="A3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Aschaffenburg (135 min)</t>
        </r>
        <r>
          <rPr>
            <sz val="9"/>
            <color indexed="81"/>
            <rFont val="Tahoma"/>
            <charset val="1"/>
          </rPr>
          <t xml:space="preserve">, Schmerlenbach, </t>
        </r>
        <r>
          <rPr>
            <b/>
            <sz val="9"/>
            <color indexed="81"/>
            <rFont val="Tahoma"/>
            <family val="2"/>
          </rPr>
          <t>Siebenwege-Pass (256)</t>
        </r>
        <r>
          <rPr>
            <sz val="9"/>
            <color indexed="81"/>
            <rFont val="Tahoma"/>
            <charset val="1"/>
          </rPr>
          <t xml:space="preserve">, Hösbach-Bahnhof, </t>
        </r>
        <r>
          <rPr>
            <i/>
            <sz val="9"/>
            <color indexed="81"/>
            <rFont val="Tahoma"/>
            <family val="2"/>
          </rPr>
          <t>Aschaff (153)</t>
        </r>
        <r>
          <rPr>
            <sz val="9"/>
            <color indexed="81"/>
            <rFont val="Tahoma"/>
            <charset val="1"/>
          </rPr>
          <t xml:space="preserve">, Weiberhof, Sailauf, </t>
        </r>
        <r>
          <rPr>
            <b/>
            <sz val="9"/>
            <color indexed="81"/>
            <rFont val="Tahoma"/>
            <family val="2"/>
          </rPr>
          <t>Spessart Höhenstraße (500)</t>
        </r>
        <r>
          <rPr>
            <sz val="9"/>
            <color indexed="81"/>
            <rFont val="Tahoma"/>
            <charset val="1"/>
          </rPr>
          <t xml:space="preserve">, Engländerhaus (470), </t>
        </r>
        <r>
          <rPr>
            <i/>
            <sz val="9"/>
            <color indexed="81"/>
            <rFont val="Tahoma"/>
            <family val="2"/>
          </rPr>
          <t>Wiesen (398)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Hirschberg-Pass (520)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Lohrbach (270)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Hermannskoppe-Pass (530 max)</t>
        </r>
        <r>
          <rPr>
            <sz val="9"/>
            <color indexed="81"/>
            <rFont val="Tahoma"/>
            <charset val="1"/>
          </rPr>
          <t xml:space="preserve">, Bayrische Schanz (508) &amp; retour 
</t>
        </r>
        <r>
          <rPr>
            <sz val="8"/>
            <color indexed="81"/>
            <rFont val="Tahoma"/>
            <family val="2"/>
          </rPr>
          <t>Samstag 2012-08-04, 9:00 - 13:30, 30 min Pause, 20 - 28 °C</t>
        </r>
      </text>
    </comment>
    <comment ref="D3" authorId="0">
      <text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charset val="1"/>
          </rPr>
          <t xml:space="preserve">
121 A'Burg - Siebenwege-Pass
347 Aschaff - Spessart Höhenstraße
129 Wiesen - Hirschberg-Pass
267 Lohrbach - Hermannskoppe-Pass
257 Lohrbach - Hirschberg-Pass
102 Wiesen - Höhenstraße</t>
        </r>
      </text>
    </comment>
    <comment ref="G3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Hermannskoppe-Pass</t>
        </r>
      </text>
    </comment>
    <comment ref="A4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Obernburg, Kleinheubach, Großheubach, Obernburg (Trails)</t>
        </r>
      </text>
    </comment>
    <comment ref="G4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Lauseiche</t>
        </r>
      </text>
    </comment>
    <comment ref="K4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Obernburg Festplatz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Kleinheubach-Amorbach: Radweg, Pulvermühle, Kirchzell, Ottorfszell, Ernsttal, Waldleinigen, </t>
        </r>
        <r>
          <rPr>
            <b/>
            <sz val="9"/>
            <color indexed="81"/>
            <rFont val="Tahoma"/>
            <family val="2"/>
          </rPr>
          <t>Kolli (500)</t>
        </r>
        <r>
          <rPr>
            <sz val="9"/>
            <color indexed="81"/>
            <rFont val="Tahoma"/>
            <charset val="1"/>
          </rPr>
          <t xml:space="preserve">, Hesselbach, Schöllenbach, Kailbach, Friedrichsdorf,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charset val="1"/>
          </rPr>
          <t xml:space="preserve">, Waldkatzenbach, </t>
        </r>
        <r>
          <rPr>
            <b/>
            <sz val="9"/>
            <color indexed="81"/>
            <rFont val="Tahoma"/>
            <family val="2"/>
          </rPr>
          <t>Katzenbuckel Turmschenke (547)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Waldkatzenbach (495)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Strümpfelbrunn Kreisel (539)</t>
        </r>
        <r>
          <rPr>
            <sz val="9"/>
            <color indexed="81"/>
            <rFont val="Tahoma"/>
            <charset val="1"/>
          </rPr>
          <t xml:space="preserve">, Oberhöllgrund, Unterhöllgrund,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Sendeturm Reisenbach (581 max)</t>
        </r>
        <r>
          <rPr>
            <sz val="9"/>
            <color indexed="81"/>
            <rFont val="Tahoma"/>
            <family val="2"/>
          </rPr>
          <t xml:space="preserve"> [407 Hm Anstieg]</t>
        </r>
        <r>
          <rPr>
            <sz val="9"/>
            <color indexed="81"/>
            <rFont val="Tahoma"/>
            <charset val="1"/>
          </rPr>
          <t xml:space="preserve">, Reisenbach, Oberscheidental, Mudau, Steinbach, Beuchen, Amorbach, Weilbach, Breitendiel, </t>
        </r>
        <r>
          <rPr>
            <i/>
            <sz val="9"/>
            <color indexed="81"/>
            <rFont val="Tahoma"/>
            <family val="2"/>
          </rPr>
          <t>Kleinheubach (129 min)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>Freitag 2012-06-15, 10:30 - 15:20 (4:50 brutto, 30 Min Pause), 20 - 24 °C, 2 kurze Schauer</t>
        </r>
      </text>
    </comment>
    <comment ref="F5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Kleinheubach</t>
        </r>
      </text>
    </comment>
    <comment ref="G5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Sendeturm Reisenbach</t>
        </r>
      </text>
    </comment>
    <comment ref="A6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Elsenfeld, Hobbach, Unteraulenbach, Wildenstein, Geißhöhe, </t>
        </r>
        <r>
          <rPr>
            <i/>
            <sz val="9"/>
            <color indexed="81"/>
            <rFont val="Tahoma"/>
            <family val="2"/>
          </rPr>
          <t>Hundsrück,</t>
        </r>
        <r>
          <rPr>
            <sz val="9"/>
            <color indexed="81"/>
            <rFont val="Tahoma"/>
            <charset val="1"/>
          </rPr>
          <t xml:space="preserve"> Wildensee, Geißhöhe, Wintersbach, </t>
        </r>
        <r>
          <rPr>
            <i/>
            <sz val="9"/>
            <color indexed="81"/>
            <rFont val="Tahoma"/>
            <family val="2"/>
          </rPr>
          <t>Neuhammer,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Höllhammer,</t>
        </r>
        <r>
          <rPr>
            <sz val="9"/>
            <color indexed="81"/>
            <rFont val="Tahoma"/>
            <charset val="1"/>
          </rPr>
          <t xml:space="preserve"> Eichelsbach, Elsenfeld</t>
        </r>
      </text>
    </comment>
    <comment ref="K6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Schützenhaus Elsenfeld</t>
        </r>
      </text>
    </comment>
    <comment ref="A7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Tahoma"/>
            <family val="2"/>
          </rPr>
          <t xml:space="preserve">Normalweg Bürgstadt [Haupt-, Luitpold-, Eichenbühler Str.] </t>
        </r>
        <r>
          <rPr>
            <i/>
            <sz val="9"/>
            <color indexed="81"/>
            <rFont val="Tahoma"/>
            <family val="2"/>
          </rPr>
          <t>(127 min),</t>
        </r>
        <r>
          <rPr>
            <sz val="9"/>
            <color indexed="81"/>
            <rFont val="Tahoma"/>
            <charset val="1"/>
          </rPr>
          <t xml:space="preserve"> Schützenhaus, MIL 1 [25,6 km; 1000 Hm] </t>
        </r>
        <r>
          <rPr>
            <b/>
            <sz val="9"/>
            <color indexed="81"/>
            <rFont val="Tahoma"/>
            <family val="2"/>
          </rPr>
          <t>(452 max)</t>
        </r>
        <r>
          <rPr>
            <sz val="9"/>
            <color indexed="81"/>
            <rFont val="Tahoma"/>
            <charset val="1"/>
          </rPr>
          <t xml:space="preserve">, zurück über </t>
        </r>
        <r>
          <rPr>
            <b/>
            <sz val="9"/>
            <color indexed="81"/>
            <rFont val="Tahoma"/>
            <family val="2"/>
          </rPr>
          <t>Haagsaussicht (450)</t>
        </r>
        <r>
          <rPr>
            <sz val="9"/>
            <color indexed="81"/>
            <rFont val="Tahoma"/>
            <charset val="1"/>
          </rPr>
          <t xml:space="preserve">, Hartungsweg, Laurentiusbrücke, Breitendieler Str.
</t>
        </r>
        <r>
          <rPr>
            <sz val="8"/>
            <color indexed="81"/>
            <rFont val="Tahoma"/>
            <family val="2"/>
          </rPr>
          <t>Samstag 2014-10-18, 9:15 - 13:15 viele Pausen, 10 - 15 °C, Neblig - Sonnig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Brückenauffahrt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Greinberg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Aschaffenburg (140 min)</t>
        </r>
        <r>
          <rPr>
            <sz val="9"/>
            <color indexed="81"/>
            <rFont val="Tahoma"/>
            <charset val="1"/>
          </rPr>
          <t xml:space="preserve">, Schmerlenbach, </t>
        </r>
        <r>
          <rPr>
            <b/>
            <sz val="9"/>
            <color indexed="81"/>
            <rFont val="Tahoma"/>
            <family val="2"/>
          </rPr>
          <t>Pass (256)</t>
        </r>
        <r>
          <rPr>
            <sz val="9"/>
            <color indexed="81"/>
            <rFont val="Tahoma"/>
            <charset val="1"/>
          </rPr>
          <t xml:space="preserve">, Hösbach-Bahnhof, </t>
        </r>
        <r>
          <rPr>
            <i/>
            <sz val="9"/>
            <color indexed="81"/>
            <rFont val="Tahoma"/>
            <family val="2"/>
          </rPr>
          <t>Aschaff (153)</t>
        </r>
        <r>
          <rPr>
            <sz val="9"/>
            <color indexed="81"/>
            <rFont val="Tahoma"/>
            <charset val="1"/>
          </rPr>
          <t xml:space="preserve">, Weiberhof, Sailauf, </t>
        </r>
        <r>
          <rPr>
            <b/>
            <sz val="9"/>
            <color indexed="81"/>
            <rFont val="Tahoma"/>
            <family val="2"/>
          </rPr>
          <t>Spessart Höhenstraße (500)</t>
        </r>
        <r>
          <rPr>
            <sz val="9"/>
            <color indexed="81"/>
            <rFont val="Tahoma"/>
            <charset val="1"/>
          </rPr>
          <t xml:space="preserve">, Engländerhaus (470), Jakobsthal, Heigenbrücken, </t>
        </r>
        <r>
          <rPr>
            <i/>
            <sz val="9"/>
            <color indexed="81"/>
            <rFont val="Tahoma"/>
            <family val="2"/>
          </rPr>
          <t>Neuhütten (266)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 xml:space="preserve">Bischborner Hof, </t>
        </r>
        <r>
          <rPr>
            <b/>
            <sz val="9"/>
            <color indexed="81"/>
            <rFont val="Tahoma"/>
            <family val="2"/>
          </rPr>
          <t>Pass (480)</t>
        </r>
        <r>
          <rPr>
            <sz val="9"/>
            <color indexed="81"/>
            <rFont val="Tahoma"/>
            <charset val="1"/>
          </rPr>
          <t xml:space="preserve">, Lichtenau, Erlenfurt, Einsiedel, Lindenfurterhof, Torhaus Breitfurt, Windheim, </t>
        </r>
        <r>
          <rPr>
            <i/>
            <sz val="9"/>
            <color indexed="81"/>
            <rFont val="Tahoma"/>
            <family val="2"/>
          </rPr>
          <t>Hafenlohr (165)</t>
        </r>
        <r>
          <rPr>
            <sz val="9"/>
            <color indexed="81"/>
            <rFont val="Tahoma"/>
            <charset val="1"/>
          </rPr>
          <t xml:space="preserve">, Marienbrunn, Glasofen, Esselbach, Straßlücke, Torhaus Aurora, </t>
        </r>
        <r>
          <rPr>
            <b/>
            <sz val="9"/>
            <color indexed="81"/>
            <rFont val="Tahoma"/>
            <family val="2"/>
          </rPr>
          <t>Geiersberg (586 max)</t>
        </r>
        <r>
          <rPr>
            <sz val="9"/>
            <color indexed="81"/>
            <rFont val="Tahoma"/>
            <charset val="1"/>
          </rPr>
          <t xml:space="preserve">, Rohrbrunn, "Jockel" Echterspfahl (494), Hessenthal, </t>
        </r>
        <r>
          <rPr>
            <i/>
            <sz val="9"/>
            <color indexed="81"/>
            <rFont val="Tahoma"/>
            <family val="2"/>
          </rPr>
          <t>Elsava (305)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Pass (370)</t>
        </r>
        <r>
          <rPr>
            <sz val="9"/>
            <color indexed="81"/>
            <rFont val="Tahoma"/>
            <charset val="1"/>
          </rPr>
          <t xml:space="preserve">, Oberbessenbach, </t>
        </r>
        <r>
          <rPr>
            <i/>
            <sz val="9"/>
            <color indexed="81"/>
            <rFont val="Tahoma"/>
            <family val="2"/>
          </rPr>
          <t>Straßbessenbach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Haibach (282)</t>
        </r>
        <r>
          <rPr>
            <sz val="9"/>
            <color indexed="81"/>
            <rFont val="Tahoma"/>
            <charset val="1"/>
          </rPr>
          <t>, Aschaffenburg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586 Geiersberg
565 B8-Pass</t>
        </r>
      </text>
    </comment>
    <comment ref="K8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in Aschaffenburg</t>
        </r>
      </text>
    </comment>
    <comment ref="A9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Aschaffenburg (140 min)</t>
        </r>
        <r>
          <rPr>
            <sz val="9"/>
            <color indexed="81"/>
            <rFont val="Tahoma"/>
            <charset val="1"/>
          </rPr>
          <t xml:space="preserve">, Schmerlenbach, </t>
        </r>
        <r>
          <rPr>
            <b/>
            <sz val="9"/>
            <color indexed="81"/>
            <rFont val="Tahoma"/>
            <family val="2"/>
          </rPr>
          <t>Pass (256)</t>
        </r>
        <r>
          <rPr>
            <sz val="9"/>
            <color indexed="81"/>
            <rFont val="Tahoma"/>
            <charset val="1"/>
          </rPr>
          <t xml:space="preserve">, Hösbach-Bahnhof, </t>
        </r>
        <r>
          <rPr>
            <i/>
            <sz val="9"/>
            <color indexed="81"/>
            <rFont val="Tahoma"/>
            <family val="2"/>
          </rPr>
          <t>Aschaff (153)</t>
        </r>
        <r>
          <rPr>
            <sz val="9"/>
            <color indexed="81"/>
            <rFont val="Tahoma"/>
            <charset val="1"/>
          </rPr>
          <t xml:space="preserve">, Weiberhof, Sailauf, </t>
        </r>
        <r>
          <rPr>
            <b/>
            <sz val="9"/>
            <color indexed="81"/>
            <rFont val="Tahoma"/>
            <family val="2"/>
          </rPr>
          <t>Spessart Höhenstraße (500)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Engländerhaus (470)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Fernmeldeturm Heinrichsthal (522 max)</t>
        </r>
        <r>
          <rPr>
            <sz val="9"/>
            <color indexed="81"/>
            <rFont val="Tahoma"/>
            <charset val="1"/>
          </rPr>
          <t xml:space="preserve">, Heinrichsthal, Habichtsthal, Wiesthal, </t>
        </r>
        <r>
          <rPr>
            <i/>
            <sz val="9"/>
            <color indexed="81"/>
            <rFont val="Tahoma"/>
            <family val="2"/>
          </rPr>
          <t>Neuhütten (266)</t>
        </r>
        <r>
          <rPr>
            <sz val="9"/>
            <color indexed="81"/>
            <rFont val="Tahoma"/>
            <charset val="1"/>
          </rPr>
          <t xml:space="preserve">, Bischborner Hof, </t>
        </r>
        <r>
          <rPr>
            <b/>
            <sz val="9"/>
            <color indexed="81"/>
            <rFont val="Tahoma"/>
            <family val="2"/>
          </rPr>
          <t>Pass (480)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Lichtenau (260)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Echterspfahl "Jockel" (494)</t>
        </r>
        <r>
          <rPr>
            <sz val="9"/>
            <color indexed="81"/>
            <rFont val="Tahoma"/>
            <charset val="1"/>
          </rPr>
          <t xml:space="preserve">, Hessenthal, </t>
        </r>
        <r>
          <rPr>
            <i/>
            <sz val="9"/>
            <color indexed="81"/>
            <rFont val="Tahoma"/>
            <family val="2"/>
          </rPr>
          <t>Elsava (305)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Pass (370)</t>
        </r>
        <r>
          <rPr>
            <sz val="9"/>
            <color indexed="81"/>
            <rFont val="Tahoma"/>
            <charset val="1"/>
          </rPr>
          <t xml:space="preserve">, Oberbessenbach, </t>
        </r>
        <r>
          <rPr>
            <i/>
            <sz val="9"/>
            <color indexed="81"/>
            <rFont val="Tahoma"/>
            <family val="2"/>
          </rPr>
          <t>Straßbessenbach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Haibach (282)</t>
        </r>
        <r>
          <rPr>
            <sz val="9"/>
            <color indexed="81"/>
            <rFont val="Tahoma"/>
            <charset val="1"/>
          </rPr>
          <t xml:space="preserve">, Aschaffenburg
</t>
        </r>
        <r>
          <rPr>
            <sz val="8"/>
            <color indexed="81"/>
            <rFont val="Tahoma"/>
            <family val="2"/>
          </rPr>
          <t>Sonntag 2012-06-17, 9:00 - 13:00, 30 min Pause, 14 - 24 °C</t>
        </r>
      </text>
    </comment>
    <comment ref="D9" authorId="0">
      <text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family val="2"/>
          </rPr>
          <t xml:space="preserve">
116 A'Burg - Schmerlenbach
369 Aschaff - Sender Heinrichsthal
214 Neuhütten - Bischborner Hof
234 Lichtenau - Echterspfahl
065 Elsava - Oberbessenbach
102 Straßbessenbach - Haibach</t>
        </r>
      </text>
    </comment>
    <comment ref="F9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Alexandrastraße</t>
        </r>
      </text>
    </comment>
    <comment ref="G9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Fernmeldeturm Heinrichsthal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Lohr</t>
        </r>
      </text>
    </comment>
    <comment ref="G10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Weickertshöhe; Tour: 530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Lohr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Aschaffenburg, Würzburger Straße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Aschaffenburg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Aschaffenburg, Würzburger Straße</t>
        </r>
      </text>
    </comment>
    <comment ref="G12" authorId="0">
      <text>
        <r>
          <rPr>
            <b/>
            <sz val="8"/>
            <color indexed="81"/>
            <rFont val="Tahoma"/>
          </rPr>
          <t>fan:</t>
        </r>
        <r>
          <rPr>
            <sz val="8"/>
            <color indexed="81"/>
            <rFont val="Tahoma"/>
          </rPr>
          <t xml:space="preserve">
</t>
        </r>
        <r>
          <rPr>
            <sz val="9"/>
            <color indexed="81"/>
            <rFont val="Tahoma"/>
            <family val="2"/>
          </rPr>
          <t>Engländer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Aschaffenburg</t>
        </r>
      </text>
    </comment>
    <comment ref="A13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Laudenbach Radweg dann wie Odenwald-Spessart-König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Frammersbach, Marktplatz; Wegzeichen 6 &amp; 7, Pause: Bayerische Schanz</t>
        </r>
      </text>
    </comment>
    <comment ref="K14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Frammersbach</t>
        </r>
      </text>
    </comment>
    <comment ref="A15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in Eichenbühl</t>
        </r>
      </text>
    </comment>
    <comment ref="A16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Großheubach, </t>
        </r>
        <r>
          <rPr>
            <i/>
            <sz val="9"/>
            <color indexed="81"/>
            <rFont val="Tahoma"/>
            <family val="2"/>
          </rPr>
          <t xml:space="preserve">Eselsweg </t>
        </r>
        <r>
          <rPr>
            <sz val="9"/>
            <color indexed="81"/>
            <rFont val="Tahoma"/>
            <family val="2"/>
          </rPr>
          <t xml:space="preserve">bis </t>
        </r>
        <r>
          <rPr>
            <b/>
            <sz val="9"/>
            <color indexed="81"/>
            <rFont val="Tahoma"/>
            <family val="2"/>
          </rPr>
          <t>Schöllesberg (482)</t>
        </r>
        <r>
          <rPr>
            <sz val="9"/>
            <color indexed="81"/>
            <rFont val="Tahoma"/>
            <family val="2"/>
          </rPr>
          <t xml:space="preserve">, rechts ab mit </t>
        </r>
        <r>
          <rPr>
            <i/>
            <sz val="9"/>
            <color indexed="81"/>
            <rFont val="Tahoma"/>
            <family val="2"/>
          </rPr>
          <t>Roter Querbalken</t>
        </r>
        <r>
          <rPr>
            <sz val="9"/>
            <color indexed="81"/>
            <rFont val="Tahoma"/>
            <family val="2"/>
          </rPr>
          <t xml:space="preserve">, Kirschfurt, Freudenberg, mit </t>
        </r>
        <r>
          <rPr>
            <i/>
            <sz val="9"/>
            <color indexed="81"/>
            <rFont val="Tahoma"/>
            <family val="2"/>
          </rPr>
          <t xml:space="preserve">Rotes Dreieck </t>
        </r>
        <r>
          <rPr>
            <sz val="9"/>
            <color indexed="81"/>
            <rFont val="Tahoma"/>
            <family val="2"/>
          </rPr>
          <t xml:space="preserve">über </t>
        </r>
        <r>
          <rPr>
            <i/>
            <sz val="9"/>
            <color indexed="81"/>
            <rFont val="Tahoma"/>
            <family val="2"/>
          </rPr>
          <t>gelbes Viereck</t>
        </r>
        <r>
          <rPr>
            <sz val="9"/>
            <color indexed="81"/>
            <rFont val="Tahoma"/>
            <family val="2"/>
          </rPr>
          <t xml:space="preserve"> rechts zum </t>
        </r>
        <r>
          <rPr>
            <b/>
            <sz val="9"/>
            <color indexed="81"/>
            <rFont val="Tahoma"/>
            <family val="2"/>
          </rPr>
          <t>Wannenberg (Gipfelkreuz 482)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Ringwall,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i/>
            <sz val="9"/>
            <color indexed="81"/>
            <rFont val="Tahoma"/>
            <family val="2"/>
          </rPr>
          <t>Zentgrafenkapelle,</t>
        </r>
        <r>
          <rPr>
            <sz val="9"/>
            <color indexed="81"/>
            <rFont val="Tahoma"/>
            <family val="2"/>
          </rPr>
          <t xml:space="preserve"> Bürgstadt, Miltenberg</t>
        </r>
      </text>
    </comment>
    <comment ref="A17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Ab Erholungsheim Schweinheim, </t>
        </r>
        <r>
          <rPr>
            <b/>
            <sz val="9"/>
            <color indexed="81"/>
            <rFont val="Tahoma"/>
            <family val="2"/>
          </rPr>
          <t>Stengerts 347,   20m-Turm 367 max,</t>
        </r>
        <r>
          <rPr>
            <sz val="9"/>
            <color indexed="81"/>
            <rFont val="Tahoma"/>
            <charset val="1"/>
          </rPr>
          <t xml:space="preserve"> dann CTF Sulzbach-Strecke</t>
        </r>
      </text>
    </comment>
    <comment ref="F17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Altenbach bei Sulzbach</t>
        </r>
      </text>
    </comment>
    <comment ref="G17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358 Spiesknückl
367 Stengerts-Turm</t>
        </r>
      </text>
    </comment>
    <comment ref="A18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Tahoma"/>
            <family val="2"/>
          </rPr>
          <t>Aschaffenburg (140)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Aschaff (125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Strietwald-Haus vorbei (190)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Steinbach-Brücke (145)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Alter Schlag (255)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Rossbach-Brücke (165)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Königsstein-Pass (370)</t>
        </r>
        <r>
          <rPr>
            <sz val="9"/>
            <color indexed="81"/>
            <rFont val="Tahoma"/>
            <charset val="1"/>
          </rPr>
          <t>, Rückersbach (330)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b/>
            <sz val="9"/>
            <color indexed="81"/>
            <rFont val="Tahoma"/>
            <family val="2"/>
          </rPr>
          <t>Rabengrundkopf (395)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Wasserlos Rückersbach 210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Stempelhöhe (422)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Großhemsbach (335)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Hahnenkamm (437)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16 m </t>
        </r>
        <r>
          <rPr>
            <b/>
            <sz val="9"/>
            <color indexed="81"/>
            <rFont val="Tahoma"/>
            <family val="2"/>
          </rPr>
          <t>Ludwigsturm (453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Großhemsbach (335)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Stempelhöhe-Pass (410)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Auf der Ebene (300)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Rückersbach-Pass (365)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Rückersbach (330)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b/>
            <sz val="9"/>
            <color indexed="81"/>
            <rFont val="Tahoma"/>
            <family val="2"/>
          </rPr>
          <t>Königsstein-Pass (370)</t>
        </r>
        <r>
          <rPr>
            <sz val="9"/>
            <color indexed="81"/>
            <rFont val="Tahoma"/>
            <charset val="1"/>
          </rPr>
          <t xml:space="preserve">, Oberafferbach, Damm, </t>
        </r>
        <r>
          <rPr>
            <i/>
            <sz val="9"/>
            <color indexed="81"/>
            <rFont val="Tahoma"/>
            <family val="2"/>
          </rPr>
          <t>Aschaff (125)</t>
        </r>
        <r>
          <rPr>
            <sz val="9"/>
            <color indexed="81"/>
            <rFont val="Tahoma"/>
            <charset val="1"/>
          </rPr>
          <t xml:space="preserve">, Aschaffenburg
</t>
        </r>
        <r>
          <rPr>
            <sz val="8"/>
            <color indexed="81"/>
            <rFont val="Tahoma"/>
            <family val="2"/>
          </rPr>
          <t>Samstag 2014-04-12, 15 - 20 °C, 11:00 - 17:30, 6:30 br.</t>
        </r>
      </text>
    </comment>
    <comment ref="F18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Aschaff</t>
        </r>
      </text>
    </comment>
    <comment ref="G18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437 Hahnenkamm
453 Ludwigsturm (16 m)
Durch den Strietwald, viele Wellen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MIL-Wörth: MR
Echterspfahl - Engelsberg: Eselsweg
Engelsberg-MIL: R-Weg, Promilleweg, MR
</t>
        </r>
        <r>
          <rPr>
            <sz val="8"/>
            <color indexed="81"/>
            <rFont val="Tahoma"/>
            <family val="2"/>
          </rPr>
          <t>2014-09-14, errechnete Werte, 17 - 20°C, bedeckt - sonnig, trocken</t>
        </r>
      </text>
    </comment>
    <comment ref="F19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Wörth</t>
        </r>
      </text>
    </comment>
    <comment ref="G19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Hockenbrunnen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Wie normal, nur mit warmfahren und Radweg alter Friedhof</t>
        </r>
      </text>
    </comment>
    <comment ref="F20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Breitendieler Straße</t>
        </r>
      </text>
    </comment>
    <comment ref="G20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vor Kreuzeiche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Rund um den "Monte Scherbelino"</t>
        </r>
      </text>
    </comment>
    <comment ref="G21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Birkenkopf (Monte Scherbelino)</t>
        </r>
      </text>
    </comment>
    <comment ref="A22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Eichenbühl, Berndiel, Schippach, Wenschdorfer Steige, Überführung, Eichenbühl &amp; retour
</t>
        </r>
        <r>
          <rPr>
            <sz val="8"/>
            <color indexed="81"/>
            <rFont val="Tahoma"/>
            <family val="2"/>
          </rPr>
          <t>2011-04-17 13:30</t>
        </r>
      </text>
    </comment>
    <comment ref="F22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Miltenberg, Martinsbrücke</t>
        </r>
      </text>
    </comment>
    <comment ref="G22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Geisenhof "Pass"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 - Wörth: </t>
        </r>
        <r>
          <rPr>
            <i/>
            <sz val="9"/>
            <color indexed="81"/>
            <rFont val="Tahoma"/>
            <family val="2"/>
          </rPr>
          <t>MR (122 min)</t>
        </r>
        <r>
          <rPr>
            <sz val="9"/>
            <color indexed="81"/>
            <rFont val="Tahoma"/>
            <family val="2"/>
          </rPr>
          <t xml:space="preserve">, Grimmesweg, Burkharder Hof, Heukopf, Brandschneiße, Lauseiche, </t>
        </r>
        <r>
          <rPr>
            <b/>
            <sz val="9"/>
            <color indexed="81"/>
            <rFont val="Tahoma"/>
            <family val="2"/>
          </rPr>
          <t>Rauschen (456 max)</t>
        </r>
        <r>
          <rPr>
            <sz val="9"/>
            <color indexed="81"/>
            <rFont val="Tahoma"/>
            <family val="2"/>
          </rPr>
          <t xml:space="preserve">, Kleinheubach, Laudenbach, Wörth, Wörth - Mil: MR
</t>
        </r>
        <r>
          <rPr>
            <sz val="8"/>
            <color indexed="81"/>
            <rFont val="Tahoma"/>
            <family val="2"/>
          </rPr>
          <t>Sonntag, 2013-12-08, 10:15 - 14:15, 6 - 8 °C, aufgeheitert, trocken</t>
        </r>
      </text>
    </comment>
    <comment ref="F23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Staustufe Klingenberg</t>
        </r>
      </text>
    </comment>
    <comment ref="G23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Rauschen</t>
        </r>
      </text>
    </comment>
    <comment ref="A24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Geißbuckel,</t>
        </r>
        <r>
          <rPr>
            <sz val="9"/>
            <color indexed="81"/>
            <rFont val="Tahoma"/>
            <family val="2"/>
          </rPr>
          <t xml:space="preserve"> Monbrunn, </t>
        </r>
        <r>
          <rPr>
            <i/>
            <sz val="9"/>
            <color indexed="81"/>
            <rFont val="Tahoma"/>
            <family val="2"/>
          </rPr>
          <t>Kohlplatte,</t>
        </r>
        <r>
          <rPr>
            <sz val="9"/>
            <color indexed="81"/>
            <rFont val="Tahoma"/>
            <family val="2"/>
          </rPr>
          <t xml:space="preserve"> Wenschdorf, Reuenthal, </t>
        </r>
        <r>
          <rPr>
            <b/>
            <sz val="9"/>
            <color indexed="81"/>
            <rFont val="Tahoma"/>
            <family val="2"/>
          </rPr>
          <t>Gotthardsruine,</t>
        </r>
        <r>
          <rPr>
            <sz val="9"/>
            <color indexed="81"/>
            <rFont val="Tahoma"/>
            <family val="2"/>
          </rPr>
          <t xml:space="preserve"> Amorbach, Weilbach, Breitendiel, </t>
        </r>
        <r>
          <rPr>
            <i/>
            <sz val="9"/>
            <color indexed="81"/>
            <rFont val="Tahoma"/>
            <family val="2"/>
          </rPr>
          <t>Deich,</t>
        </r>
        <r>
          <rPr>
            <sz val="9"/>
            <color indexed="81"/>
            <rFont val="Tahoma"/>
            <family val="2"/>
          </rPr>
          <t xml:space="preserve"> Miltenberg</t>
        </r>
      </text>
    </comment>
    <comment ref="A25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- Bürgstadt - Pfohlbach: Radweg, Kaltenbrunn, Reinhardsachsen, </t>
        </r>
        <r>
          <rPr>
            <b/>
            <sz val="9"/>
            <color indexed="81"/>
            <rFont val="Tahoma"/>
            <family val="2"/>
          </rPr>
          <t>Kreuzung Gerolzahn (380 max)</t>
        </r>
        <r>
          <rPr>
            <sz val="9"/>
            <color indexed="81"/>
            <rFont val="Tahoma"/>
            <charset val="1"/>
          </rPr>
          <t xml:space="preserve">, Rippberg - Amorbach: Radweg, Weilbach, Breitendiel, Apfelstraße, Miltenberg
</t>
        </r>
        <r>
          <rPr>
            <sz val="8"/>
            <color indexed="81"/>
            <rFont val="Tahoma"/>
            <family val="2"/>
          </rPr>
          <t>Samstag 2012-06-02</t>
        </r>
      </text>
    </comment>
    <comment ref="A26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Aschaffenburg, Hösbach, Hösbach-Bahnhof, Unterbessenbach, Frauengrund, Keilberg </t>
        </r>
        <r>
          <rPr>
            <b/>
            <sz val="9"/>
            <color indexed="81"/>
            <rFont val="Tahoma"/>
            <family val="2"/>
          </rPr>
          <t>(Kurs),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Klingerhof,</t>
        </r>
        <r>
          <rPr>
            <sz val="9"/>
            <color indexed="81"/>
            <rFont val="Tahoma"/>
            <charset val="1"/>
          </rPr>
          <t xml:space="preserve"> Haibach, Aschaffenburg</t>
        </r>
      </text>
    </comment>
    <comment ref="F26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Brentanostraße</t>
        </r>
      </text>
    </comment>
    <comment ref="G26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Klingerhof</t>
        </r>
      </text>
    </comment>
    <comment ref="A27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A'burg (Schweinheim), Mainaschaff, Kleinostheim, Karlstein, Kahl, Alzenau, Wasserlos, Hörstein, Kleinostheim, Mainaschaff, A'burg (Schweinheim)</t>
        </r>
      </text>
    </comment>
    <comment ref="F27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Kahl-Mündung</t>
        </r>
      </text>
    </comment>
    <comment ref="G27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Schweinheim</t>
        </r>
      </text>
    </comment>
    <comment ref="A28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Radweg Miltenberg - Aschaffenburg linksmainisch, Aschaffenburg - Eichenbühl rechtsmainisch - Eichenbühl - Obernburg - Miltenberg linksmainisch</t>
        </r>
      </text>
    </comment>
    <comment ref="F28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Aschaffenburg</t>
        </r>
      </text>
    </comment>
    <comment ref="G28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Eichenbühl</t>
        </r>
      </text>
    </comment>
    <comment ref="A29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Radweg/Straße Miltenberg, Kleinheubach, Kreuzwertheim, Miltenberg</t>
        </r>
      </text>
    </comment>
    <comment ref="A30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Radweg Miltenberg, Laudenbach, Kreuzwertheim, Miltenberg</t>
        </r>
      </text>
    </comment>
  </commentList>
</comments>
</file>

<file path=xl/comments12.xml><?xml version="1.0" encoding="utf-8"?>
<comments xmlns="http://schemas.openxmlformats.org/spreadsheetml/2006/main">
  <authors>
    <author>FAN</author>
    <author>fan</author>
  </authors>
  <commentList>
    <comment ref="L1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 = Marathon
RTF = Radtouristikfahrt
Race = Rennen (auf gesperrter Strecke, mit Zeitnahme)
Tri = Triathlon Radstrecke (mit Zeitnahme)
E = Einzelzeitfahren</t>
        </r>
      </text>
    </comment>
    <comment ref="A2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Marathon, 27.04.2008
optimale Bedingungen</t>
        </r>
      </text>
    </comment>
    <comment ref="E2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Geschlossener Verband</t>
        </r>
      </text>
    </comment>
    <comment ref="F2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Rüsselsheim</t>
        </r>
      </text>
    </comment>
    <comment ref="G2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Zwingenberg</t>
        </r>
      </text>
    </comment>
    <comment ref="J2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Start: Jahnstraße 20, Griesheim
Anfahrt: A3, A5</t>
        </r>
      </text>
    </comment>
    <comment ref="A3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RTF, frühs Warm 20°C, Mittags schwül 28°C, Sonnig, wenig Wind
</t>
        </r>
        <r>
          <rPr>
            <sz val="8"/>
            <color indexed="81"/>
            <rFont val="Tahoma"/>
            <family val="2"/>
          </rPr>
          <t>Zeitfenster: 5:00 auf, 6:00 auto, 6:15 rad, 6:30 ab</t>
        </r>
      </text>
    </comment>
    <comment ref="C3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115 km offiziell
9 km Anfahrt</t>
        </r>
      </text>
    </comment>
    <comment ref="F3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Brückenauffahrt</t>
        </r>
      </text>
    </comment>
    <comment ref="G3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~1 km vor Steinbach</t>
        </r>
      </text>
    </comment>
    <comment ref="A4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RTF, Frühs kühl (11 °C), Mittags warm (28 °C), sehr sonnig, wenig Wind</t>
        </r>
      </text>
    </comment>
    <comment ref="C4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Anreise per Rad 4,5 km einfach</t>
        </r>
      </text>
    </comment>
    <comment ref="F4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Brückenauffahrt</t>
        </r>
      </text>
    </comment>
    <comment ref="G4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~1 km vor Steinbach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
Optimale Bedingungen</t>
        </r>
      </text>
    </comment>
    <comment ref="A6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RTF, 10.05.2008
optimale Bedingungen</t>
        </r>
      </text>
    </comment>
    <comment ref="F6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Bimbach</t>
        </r>
      </text>
    </comment>
    <comment ref="G6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Ottilienstein Passhöhe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RTF, Kühl (10-15°C), etwas Regen</t>
        </r>
      </text>
    </comment>
    <comment ref="F7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Erfbrücke Bürgstadt</t>
        </r>
      </text>
    </comment>
    <comment ref="G7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~1 km vor Steinbach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Tennisheim Bürgstadt (Squashhalle)</t>
        </r>
      </text>
    </comment>
    <comment ref="A8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RTF
Optimale Bedingungen</t>
        </r>
      </text>
    </comment>
    <comment ref="F8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Mainaschaff</t>
        </r>
      </text>
    </comment>
    <comment ref="G8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Ehemalige B8 unterhalb Geiersberg</t>
        </r>
      </text>
    </comment>
    <comment ref="J8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Mainaschaff, Mainpark Center</t>
        </r>
      </text>
    </comment>
    <comment ref="A9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RTF 01.04.2007
Sonne, Wind</t>
        </r>
      </text>
    </comment>
    <comment ref="F9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Babenhausen</t>
        </r>
      </text>
    </comment>
    <comment ref="G9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Frankenhausen</t>
        </r>
      </text>
    </comment>
    <comment ref="J9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Eppertshausen, Mehrzweckhalle</t>
        </r>
      </text>
    </comment>
    <comment ref="A10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Race, 01.05.2007
Optimale Bedingungen</t>
        </r>
      </text>
    </comment>
    <comment ref="G10" authorId="1">
      <text>
        <r>
          <rPr>
            <b/>
            <sz val="8"/>
            <color indexed="81"/>
            <rFont val="Tahoma"/>
          </rPr>
          <t>fan:</t>
        </r>
        <r>
          <rPr>
            <sz val="8"/>
            <color indexed="81"/>
            <rFont val="Tahoma"/>
          </rPr>
          <t xml:space="preserve">
</t>
        </r>
        <r>
          <rPr>
            <sz val="9"/>
            <color indexed="81"/>
            <rFont val="Tahoma"/>
            <family val="2"/>
          </rPr>
          <t>Parkplatz Mallmannstein</t>
        </r>
      </text>
    </comment>
    <comment ref="J10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im Main-Taunus-Zentrum, Sulzbach (Taunus)</t>
        </r>
      </text>
    </comment>
    <comment ref="A11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 (165er Strecke), 13 - 16 °C, nach Niklashausen bis Heim Starkregen, Abkürzung: Neunkirchen -&gt; Miltenberg
</t>
        </r>
        <r>
          <rPr>
            <sz val="8"/>
            <color indexed="81"/>
            <rFont val="Tahoma"/>
            <family val="2"/>
          </rPr>
          <t>2013-06-09 7:00 - 11:30 Verpflegung nur Bronnbach &amp; Eiersheim</t>
        </r>
      </text>
    </comment>
    <comment ref="D11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Gemittelt aus barometrischer und GPS-Messung</t>
        </r>
      </text>
    </comment>
    <comment ref="F11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Miltenberg Brückenaufahrt</t>
        </r>
      </text>
    </comment>
    <comment ref="G11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~ 1 km vor Steinbach</t>
        </r>
      </text>
    </comment>
    <comment ref="A12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RTF, Kaiserwetter</t>
        </r>
      </text>
    </comment>
    <comment ref="F12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Mainbrücke Großwallstadt</t>
        </r>
      </text>
    </comment>
    <comment ref="G12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Kreuzsteintor</t>
        </r>
      </text>
    </comment>
    <comment ref="I12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7:00, 24. Mai</t>
        </r>
      </text>
    </comment>
    <comment ref="A13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Race, 27.06.2007
Optimale Bedingungen</t>
        </r>
      </text>
    </comment>
    <comment ref="G13" authorId="1">
      <text>
        <r>
          <rPr>
            <b/>
            <sz val="8"/>
            <color indexed="81"/>
            <rFont val="Tahoma"/>
          </rPr>
          <t>fan:</t>
        </r>
        <r>
          <rPr>
            <sz val="8"/>
            <color indexed="81"/>
            <rFont val="Tahoma"/>
          </rPr>
          <t xml:space="preserve">
</t>
        </r>
        <r>
          <rPr>
            <sz val="9"/>
            <color indexed="81"/>
            <rFont val="Tahoma"/>
            <family val="2"/>
          </rPr>
          <t>Oberhalb Kreuzalm</t>
        </r>
      </text>
    </comment>
    <comment ref="A14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Race
Wetter gut
Boden nass, matschig</t>
        </r>
      </text>
    </comment>
    <comment ref="G14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Hermannskoppe</t>
        </r>
      </text>
    </comment>
    <comment ref="J14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Frammersbach</t>
        </r>
      </text>
    </comment>
    <comment ref="A15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Race
Optimale Bedingungen</t>
        </r>
      </text>
    </comment>
    <comment ref="G15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Hermannskoppe</t>
        </r>
      </text>
    </comment>
    <comment ref="J15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Frammersbach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Triathlon
optimale Bedingungen</t>
        </r>
      </text>
    </comment>
    <comment ref="G16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Altmauerhöhe</t>
        </r>
      </text>
    </comment>
    <comment ref="A17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Race, 06.05.2007
Optimale Bedingungen</t>
        </r>
      </text>
    </comment>
    <comment ref="G17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Hoherodskopf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CTF
optimale Bedingungen</t>
        </r>
      </text>
    </comment>
    <comment ref="G18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Spiesknückl</t>
        </r>
      </text>
    </comment>
    <comment ref="J18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Möbelhaus Sulzbach</t>
        </r>
      </text>
    </comment>
    <comment ref="A19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Einzelzeitfahren
Kühl ca. 10 °C, etwas Regen</t>
        </r>
      </text>
    </comment>
    <comment ref="G19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Metzgerei Weckbacher Straße</t>
        </r>
      </text>
    </comment>
    <comment ref="J19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Gymnasium Miltenberg</t>
        </r>
      </text>
    </comment>
  </commentList>
</comments>
</file>

<file path=xl/comments13.xml><?xml version="1.0" encoding="utf-8"?>
<comments xmlns="http://schemas.openxmlformats.org/spreadsheetml/2006/main">
  <authors>
    <author>FAN</author>
    <author>fan</author>
  </authors>
  <commentList>
    <comment ref="L1" authorId="0">
      <text>
        <r>
          <rPr>
            <sz val="9"/>
            <color indexed="81"/>
            <rFont val="Tahoma"/>
            <family val="2"/>
          </rPr>
          <t>Bewertung Häufigkeit
 Gold - Oft gefahren
 Silber - Selten gefahren
 Bronze - Einmal gefahren</t>
        </r>
      </text>
    </comment>
    <comment ref="M1" authorId="0">
      <text>
        <r>
          <rPr>
            <sz val="9"/>
            <color indexed="81"/>
            <rFont val="Tahoma"/>
            <family val="2"/>
          </rPr>
          <t>Bewertung Verkehr
 Gold - Wenig Verkehr RR / Wenig Asphalt MTB
 Silber - Normaler Verkehr RR / Hälfte Asphalt MTB
 Bronze - Viel Verkehr RR / Überwiegend Asphalt MTB</t>
        </r>
      </text>
    </comment>
    <comment ref="N1" authorId="0">
      <text>
        <r>
          <rPr>
            <sz val="9"/>
            <color indexed="81"/>
            <rFont val="Tahoma"/>
            <family val="2"/>
          </rPr>
          <t xml:space="preserve">Bewertung Strecke
 Gold - Wenige Kreuzungen RR / Flüssige Wege MTB
 Silber - Einige Kreuzungen RR / Teils Rampen, schlechte Wege MTB
 Bronze - Viele Kreuzungen, Ortsdurchfahrten RR / Steile Rampen, verblockte Wege MTB
</t>
        </r>
      </text>
    </comment>
    <comment ref="O1" authorId="0">
      <text>
        <r>
          <rPr>
            <sz val="9"/>
            <color indexed="81"/>
            <rFont val="Tahoma"/>
            <family val="2"/>
          </rPr>
          <t xml:space="preserve">Bewertung Landschaft
 Gold
 Silber
 Bronze
</t>
        </r>
      </text>
    </comment>
    <comment ref="P1" authorId="0">
      <text>
        <r>
          <rPr>
            <sz val="9"/>
            <color indexed="81"/>
            <rFont val="Tahoma"/>
            <family val="2"/>
          </rPr>
          <t>Gesamtnote
 - Gold
 - Silber
 - Bronze</t>
        </r>
      </text>
    </comment>
    <comment ref="A2" authorId="0">
      <text>
        <r>
          <rPr>
            <sz val="9"/>
            <color indexed="81"/>
            <rFont val="Tahoma"/>
            <family val="2"/>
          </rPr>
          <t xml:space="preserve">Rauhenzell, </t>
        </r>
        <r>
          <rPr>
            <i/>
            <sz val="9"/>
            <color indexed="81"/>
            <rFont val="Tahoma"/>
            <family val="2"/>
          </rPr>
          <t>Parkplatz an der Iller (720 min)</t>
        </r>
        <r>
          <rPr>
            <sz val="9"/>
            <color indexed="81"/>
            <rFont val="Tahoma"/>
            <family val="2"/>
          </rPr>
          <t xml:space="preserve">, Rettenberg, Kammeregger Weg, Kammeregger Alpe (1237), Grüntenhütte (1477), vorletzte Liftsäule mit Schiebepassage </t>
        </r>
        <r>
          <rPr>
            <b/>
            <sz val="9"/>
            <color indexed="81"/>
            <rFont val="Tahoma"/>
            <family val="2"/>
          </rPr>
          <t>(1575 max)</t>
        </r>
      </text>
    </comment>
    <comment ref="G2" authorId="0">
      <text>
        <r>
          <rPr>
            <sz val="9"/>
            <color indexed="81"/>
            <rFont val="Tahoma"/>
            <family val="2"/>
          </rPr>
          <t>1738 Gipfel
1477 Teer</t>
        </r>
      </text>
    </comment>
    <comment ref="A3" authorId="1">
      <text>
        <r>
          <rPr>
            <i/>
            <sz val="9"/>
            <color indexed="81"/>
            <rFont val="Tahoma"/>
            <family val="2"/>
          </rPr>
          <t>Parkplatz Autobahn-Ausfahrt Achern (133 min)</t>
        </r>
        <r>
          <rPr>
            <sz val="9"/>
            <color indexed="81"/>
            <rFont val="Tahoma"/>
            <family val="2"/>
          </rPr>
          <t>, Sasbachwalden, Brandmatt, Sender Hornisgrinde (1125)</t>
        </r>
        <r>
          <rPr>
            <b/>
            <sz val="9"/>
            <color indexed="81"/>
            <rFont val="Tahoma"/>
            <family val="2"/>
          </rPr>
          <t>, Grinde (1150 max)</t>
        </r>
      </text>
    </comment>
    <comment ref="G3" authorId="1">
      <text>
        <r>
          <rPr>
            <sz val="9"/>
            <color indexed="81"/>
            <rFont val="Tahoma"/>
            <family val="2"/>
          </rPr>
          <t>1150 Teer</t>
        </r>
      </text>
    </comment>
    <comment ref="A4" authorId="1">
      <text>
        <r>
          <rPr>
            <sz val="9"/>
            <color indexed="81"/>
            <rFont val="Tahoma"/>
            <charset val="1"/>
          </rPr>
          <t xml:space="preserve">Zella-Mehlis, </t>
        </r>
        <r>
          <rPr>
            <i/>
            <sz val="9"/>
            <color indexed="81"/>
            <rFont val="Tahoma"/>
            <family val="2"/>
          </rPr>
          <t>Parkplatz an der Lubenbachstraße 2 (575 min)</t>
        </r>
        <r>
          <rPr>
            <sz val="9"/>
            <color indexed="81"/>
            <rFont val="Tahoma"/>
            <charset val="1"/>
          </rPr>
          <t xml:space="preserve">, Bahnhof, L3247, L1129 "Schmücker Straße", Schneekopf-Pass (942), </t>
        </r>
        <r>
          <rPr>
            <b/>
            <sz val="9"/>
            <color indexed="81"/>
            <rFont val="Tahoma"/>
            <family val="2"/>
          </rPr>
          <t>Schneekopf-Sender (955 max)</t>
        </r>
        <r>
          <rPr>
            <sz val="9"/>
            <color indexed="81"/>
            <rFont val="Tahoma"/>
            <charset val="1"/>
          </rPr>
          <t xml:space="preserve">, Schmücke (916), zurück bis Rennsteig-Brücke, Radweg ab
</t>
        </r>
        <r>
          <rPr>
            <sz val="8"/>
            <color indexed="81"/>
            <rFont val="Tahoma"/>
            <family val="2"/>
          </rPr>
          <t>Montag 2013-06-17, 4:00 auf, 4:30 ab, 7:00 Start - 8:45 Ende, 9:00 zurück, 11:30 da,
Armlinge + Beinlinge ca. 10 - 15 °C, sonnig</t>
        </r>
      </text>
    </comment>
    <comment ref="G4" authorId="1">
      <text>
        <r>
          <rPr>
            <sz val="9"/>
            <color indexed="81"/>
            <rFont val="Tahoma"/>
            <family val="2"/>
          </rPr>
          <t>942 Teer</t>
        </r>
      </text>
    </comment>
    <comment ref="A5" authorId="1">
      <text>
        <r>
          <rPr>
            <sz val="9"/>
            <color indexed="81"/>
            <rFont val="Tahoma"/>
            <family val="2"/>
          </rPr>
          <t xml:space="preserve">Altenfeld, Gersfeld, Obernhausen, </t>
        </r>
        <r>
          <rPr>
            <b/>
            <sz val="9"/>
            <color indexed="81"/>
            <rFont val="Tahoma"/>
            <family val="2"/>
          </rPr>
          <t>Wasserkuppe Radom (950 max)</t>
        </r>
      </text>
    </comment>
    <comment ref="A6" authorId="1">
      <text>
        <r>
          <rPr>
            <sz val="9"/>
            <color indexed="81"/>
            <rFont val="Tahoma"/>
            <family val="2"/>
          </rPr>
          <t xml:space="preserve">Altenfeld, Gersfeld, Schwedenschanze, Oberwildflecken, Klosterkreuzberg (864), </t>
        </r>
        <r>
          <rPr>
            <b/>
            <sz val="9"/>
            <color indexed="81"/>
            <rFont val="Tahoma"/>
            <family val="2"/>
          </rPr>
          <t>Kreuzberg Gipfelkreuz (928 max)</t>
        </r>
      </text>
    </comment>
    <comment ref="A7" authorId="1">
      <text>
        <r>
          <rPr>
            <sz val="9"/>
            <color indexed="81"/>
            <rFont val="Tahoma"/>
            <family val="2"/>
          </rPr>
          <t xml:space="preserve">Gersfeld, Mosbach, </t>
        </r>
        <r>
          <rPr>
            <b/>
            <sz val="9"/>
            <color indexed="81"/>
            <rFont val="Tahoma"/>
            <family val="2"/>
          </rPr>
          <t>Heidelstein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Sendeturm (926 max)</t>
        </r>
      </text>
    </comment>
    <comment ref="A8" authorId="0">
      <text>
        <r>
          <rPr>
            <i/>
            <sz val="9"/>
            <color indexed="81"/>
            <rFont val="Tahoma"/>
            <family val="2"/>
          </rPr>
          <t>Oberursel (300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Kolbenberg (684)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Sandplacken,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Großer Feldberg (880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Rotes Kreuz,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Glashütten, </t>
        </r>
        <r>
          <rPr>
            <i/>
            <sz val="9"/>
            <color indexed="81"/>
            <rFont val="Tahoma"/>
            <family val="2"/>
          </rPr>
          <t>Oberems (416)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 xml:space="preserve">Kittelhütte, </t>
        </r>
        <r>
          <rPr>
            <b/>
            <sz val="9"/>
            <color indexed="81"/>
            <rFont val="Tahoma"/>
            <family val="2"/>
          </rPr>
          <t>Seelenberg (589)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Schmitten (437)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Sandplacken,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Siegfriedstraße (700)</t>
        </r>
        <r>
          <rPr>
            <sz val="9"/>
            <color indexed="81"/>
            <rFont val="Tahoma"/>
            <charset val="1"/>
          </rPr>
          <t xml:space="preserve">, Oberreifenberg, </t>
        </r>
        <r>
          <rPr>
            <i/>
            <sz val="9"/>
            <color indexed="81"/>
            <rFont val="Tahoma"/>
            <family val="2"/>
          </rPr>
          <t>Niederreifenberg (575)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Rotes Kreuz,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Feldberg-Pass (850)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Oberursel (300)</t>
        </r>
      </text>
    </comment>
    <comment ref="D8" authorId="0">
      <text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family val="2"/>
          </rPr>
          <t xml:space="preserve">
580 Oberursel - Feldberg
173 Oberems - Seelenberg
263 Schmitten - Siegfriedstraße
275 Niederreifenberg - Feldberg-Pass</t>
        </r>
      </text>
    </comment>
    <comment ref="I8" authorId="0">
      <text>
        <r>
          <rPr>
            <sz val="9"/>
            <color indexed="81"/>
            <rFont val="Tahoma"/>
            <charset val="1"/>
          </rPr>
          <t>Start 6:45 am 15.08.</t>
        </r>
      </text>
    </comment>
    <comment ref="A9" authorId="0">
      <text>
        <r>
          <rPr>
            <i/>
            <sz val="9"/>
            <color indexed="81"/>
            <rFont val="Tahoma"/>
            <family val="2"/>
          </rPr>
          <t>Oberursel (300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Kolbenberg (684),</t>
        </r>
        <r>
          <rPr>
            <sz val="9"/>
            <color indexed="81"/>
            <rFont val="Tahoma"/>
            <family val="2"/>
          </rPr>
          <t xml:space="preserve"> Sandplacken, </t>
        </r>
        <r>
          <rPr>
            <b/>
            <sz val="9"/>
            <color indexed="81"/>
            <rFont val="Tahoma"/>
            <family val="2"/>
          </rPr>
          <t>Großer Feldberg (880 max),</t>
        </r>
        <r>
          <rPr>
            <sz val="9"/>
            <color indexed="81"/>
            <rFont val="Tahoma"/>
            <family val="2"/>
          </rPr>
          <t xml:space="preserve"> Rotes Kreuz, Niederreifenberg, </t>
        </r>
        <r>
          <rPr>
            <i/>
            <sz val="9"/>
            <color indexed="81"/>
            <rFont val="Tahoma"/>
            <family val="2"/>
          </rPr>
          <t>Schmitten (437)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Sandplacken (669)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Oberursel (300)</t>
        </r>
      </text>
    </comment>
    <comment ref="D9" authorId="1">
      <text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family val="2"/>
          </rPr>
          <t xml:space="preserve">
580 Oberursel - Feldberg
232 Schmitten - Sandplacken</t>
        </r>
      </text>
    </comment>
    <comment ref="I9" authorId="0">
      <text>
        <r>
          <rPr>
            <sz val="9"/>
            <color indexed="81"/>
            <rFont val="Tahoma"/>
            <charset val="1"/>
          </rPr>
          <t>Start 6:10 am 7. Juni</t>
        </r>
      </text>
    </comment>
    <comment ref="A10" authorId="1">
      <text>
        <r>
          <rPr>
            <i/>
            <sz val="9"/>
            <color indexed="81"/>
            <rFont val="Tahoma"/>
            <family val="2"/>
          </rPr>
          <t>Oberursel (300 min)</t>
        </r>
        <r>
          <rPr>
            <sz val="9"/>
            <color indexed="81"/>
            <rFont val="Tahoma"/>
            <family val="2"/>
          </rPr>
          <t xml:space="preserve">, Altkönig (798), Kleiner Feldberg (826), </t>
        </r>
        <r>
          <rPr>
            <b/>
            <sz val="9"/>
            <color indexed="81"/>
            <rFont val="Tahoma"/>
            <family val="2"/>
          </rPr>
          <t>Großer Feldberg (880 max)</t>
        </r>
        <r>
          <rPr>
            <sz val="9"/>
            <color indexed="81"/>
            <rFont val="Tahoma"/>
            <family val="2"/>
          </rPr>
          <t>, Kolbenberg (684), Oberursel</t>
        </r>
      </text>
    </comment>
    <comment ref="A11" authorId="0">
      <text>
        <r>
          <rPr>
            <sz val="9"/>
            <color indexed="81"/>
            <rFont val="Tahoma"/>
            <family val="2"/>
          </rPr>
          <t xml:space="preserve">Parkplatz Hohemark, Sandplacken, </t>
        </r>
        <r>
          <rPr>
            <b/>
            <sz val="9"/>
            <color indexed="81"/>
            <rFont val="Tahoma"/>
            <family val="2"/>
          </rPr>
          <t>Großer Feldberg (880 max)</t>
        </r>
      </text>
    </comment>
    <comment ref="A12" authorId="1">
      <text>
        <r>
          <rPr>
            <sz val="9"/>
            <color indexed="81"/>
            <rFont val="Tahoma"/>
            <charset val="1"/>
          </rPr>
          <t xml:space="preserve">P: Kirchheim unter Teck, bei der Linde 1 (BAB 8/AS 57); </t>
        </r>
        <r>
          <rPr>
            <i/>
            <sz val="9"/>
            <color indexed="81"/>
            <rFont val="Tahoma"/>
            <family val="2"/>
          </rPr>
          <t>Kirchheim unter Teck (330 min)</t>
        </r>
        <r>
          <rPr>
            <sz val="9"/>
            <color indexed="81"/>
            <rFont val="Tahoma"/>
            <charset val="1"/>
          </rPr>
          <t xml:space="preserve">, Nabern, </t>
        </r>
        <r>
          <rPr>
            <b/>
            <sz val="9"/>
            <color indexed="81"/>
            <rFont val="Tahoma"/>
            <family val="2"/>
          </rPr>
          <t>Wirtschaftsweg Brucker Hölzle (810 max)</t>
        </r>
        <r>
          <rPr>
            <sz val="9"/>
            <color indexed="81"/>
            <rFont val="Tahoma"/>
            <family val="2"/>
          </rPr>
          <t>, Brucker Hölzle (830)</t>
        </r>
      </text>
    </comment>
    <comment ref="G12" authorId="1">
      <text>
        <r>
          <rPr>
            <sz val="9"/>
            <color indexed="81"/>
            <rFont val="Tahoma"/>
            <family val="2"/>
          </rPr>
          <t>810 Teer</t>
        </r>
      </text>
    </comment>
    <comment ref="A13" authorId="0">
      <text>
        <r>
          <rPr>
            <sz val="9"/>
            <color indexed="81"/>
            <rFont val="Tahoma"/>
            <family val="2"/>
          </rPr>
          <t xml:space="preserve">Parkplatz Hohemark, Wegzeichen Weißes X, </t>
        </r>
        <r>
          <rPr>
            <b/>
            <sz val="9"/>
            <color indexed="81"/>
            <rFont val="Tahoma"/>
            <family val="2"/>
          </rPr>
          <t>Altkönig (798 max)</t>
        </r>
      </text>
    </comment>
    <comment ref="A14" authorId="0">
      <text>
        <r>
          <rPr>
            <sz val="9"/>
            <color indexed="81"/>
            <rFont val="Tahoma"/>
            <charset val="1"/>
          </rPr>
          <t>Ab Niddatalsperre</t>
        </r>
      </text>
    </comment>
    <comment ref="A15" authorId="0">
      <text>
        <r>
          <rPr>
            <sz val="9"/>
            <color indexed="81"/>
            <rFont val="Tahoma"/>
            <charset val="1"/>
          </rPr>
          <t xml:space="preserve">Schotten Sportplatz, Wegzeichen Roter Kreis, Michelbach, </t>
        </r>
        <r>
          <rPr>
            <sz val="9"/>
            <color indexed="81"/>
            <rFont val="Tahoma"/>
            <family val="2"/>
          </rPr>
          <t>Gackerstein (663), Taufstein (773),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Bismarckturm (801 max)</t>
        </r>
        <r>
          <rPr>
            <sz val="9"/>
            <color indexed="81"/>
            <rFont val="Tahoma"/>
            <charset val="1"/>
          </rPr>
          <t>, Breungesheim, Michelbach, Schotten</t>
        </r>
      </text>
    </comment>
    <comment ref="A16" authorId="0">
      <text>
        <r>
          <rPr>
            <sz val="9"/>
            <color indexed="81"/>
            <rFont val="Tahoma"/>
            <family val="2"/>
          </rPr>
          <t xml:space="preserve">Schotten, Breungeshain, Taufstein (773), </t>
        </r>
        <r>
          <rPr>
            <b/>
            <sz val="9"/>
            <color indexed="81"/>
            <rFont val="Tahoma"/>
            <family val="2"/>
          </rPr>
          <t>Taufstein-Bismarckturm (801 max)</t>
        </r>
      </text>
    </comment>
    <comment ref="G16" authorId="0">
      <text>
        <r>
          <rPr>
            <sz val="9"/>
            <color indexed="81"/>
            <rFont val="Tahoma"/>
            <family val="2"/>
          </rPr>
          <t>801 Bismarckturm</t>
        </r>
      </text>
    </comment>
    <comment ref="A17" authorId="0">
      <text>
        <r>
          <rPr>
            <i/>
            <sz val="9"/>
            <color indexed="81"/>
            <rFont val="Tahoma"/>
            <family val="2"/>
          </rPr>
          <t>Eichelsdorf (170 min),</t>
        </r>
        <r>
          <rPr>
            <sz val="9"/>
            <color indexed="81"/>
            <rFont val="Tahoma"/>
            <family val="2"/>
          </rPr>
          <t xml:space="preserve"> Rainrod, Schotten, Breungeshain, </t>
        </r>
        <r>
          <rPr>
            <b/>
            <sz val="9"/>
            <color indexed="81"/>
            <rFont val="Tahoma"/>
            <family val="2"/>
          </rPr>
          <t>Hoherodskopf (764 max)</t>
        </r>
      </text>
    </comment>
    <comment ref="A18" authorId="1">
      <text>
        <r>
          <rPr>
            <sz val="9"/>
            <color indexed="81"/>
            <rFont val="Tahoma"/>
            <family val="2"/>
          </rPr>
          <t xml:space="preserve">Parkplatz Fränkisch-Crumbach Friedhof, Weinweg, </t>
        </r>
        <r>
          <rPr>
            <b/>
            <sz val="9"/>
            <color indexed="81"/>
            <rFont val="Tahoma"/>
            <family val="2"/>
          </rPr>
          <t>Neunkircher Höhe (605 max)</t>
        </r>
      </text>
    </comment>
    <comment ref="G18" authorId="1">
      <text>
        <r>
          <rPr>
            <sz val="9"/>
            <color indexed="81"/>
            <rFont val="Tahoma"/>
            <family val="2"/>
          </rPr>
          <t>639 Kaiserturm</t>
        </r>
      </text>
    </comment>
    <comment ref="A19" authorId="0">
      <text>
        <r>
          <rPr>
            <sz val="9"/>
            <color indexed="81"/>
            <rFont val="Tahoma"/>
            <family val="2"/>
          </rPr>
          <t xml:space="preserve">Fränkisch-Crumbach Parkplatz Friedhof, Michelbach, Reichelsheim, Klein-Gumpen, Laudenau, </t>
        </r>
        <r>
          <rPr>
            <b/>
            <sz val="9"/>
            <color indexed="81"/>
            <rFont val="Tahoma"/>
            <family val="2"/>
          </rPr>
          <t>Kreisspitze "Radarturm Neunkircher Höhe" (592 max)</t>
        </r>
        <r>
          <rPr>
            <sz val="9"/>
            <color indexed="81"/>
            <rFont val="Tahoma"/>
            <family val="2"/>
          </rPr>
          <t xml:space="preserve">, Lützelbach, Billings, Niedernhausen - Groß-Bieberau Radweg, </t>
        </r>
        <r>
          <rPr>
            <i/>
            <sz val="9"/>
            <color indexed="81"/>
            <rFont val="Tahoma"/>
            <family val="2"/>
          </rPr>
          <t>(Gersprenz Fluss 160 min)</t>
        </r>
        <r>
          <rPr>
            <sz val="9"/>
            <color indexed="81"/>
            <rFont val="Tahoma"/>
            <family val="2"/>
          </rPr>
          <t>, Wersau, Bierbach, Fränkisch-Crumbach</t>
        </r>
      </text>
    </comment>
    <comment ref="G19" authorId="0">
      <text>
        <r>
          <rPr>
            <sz val="9"/>
            <color indexed="81"/>
            <rFont val="Tahoma"/>
            <family val="2"/>
          </rPr>
          <t>Kreisspitze (Radarturm Neunkircher Höhe)</t>
        </r>
      </text>
    </comment>
    <comment ref="A20" authorId="0">
      <text>
        <r>
          <rPr>
            <sz val="9"/>
            <color indexed="81"/>
            <rFont val="Tahoma"/>
            <charset val="1"/>
          </rPr>
          <t>Start in Wintersbach</t>
        </r>
      </text>
    </comment>
    <comment ref="A21" authorId="0">
      <text>
        <r>
          <rPr>
            <sz val="9"/>
            <color indexed="81"/>
            <rFont val="Tahoma"/>
            <charset val="1"/>
          </rPr>
          <t>Hasloch, Schollbrunn, Geiersberg &amp; Retour</t>
        </r>
      </text>
    </comment>
    <comment ref="D21" authorId="0">
      <text>
        <r>
          <rPr>
            <sz val="9"/>
            <color indexed="81"/>
            <rFont val="Tahoma"/>
            <charset val="1"/>
          </rPr>
          <t>400 Hm durchgehender Anstieg</t>
        </r>
      </text>
    </comment>
    <comment ref="A22" authorId="1">
      <text>
        <r>
          <rPr>
            <sz val="9"/>
            <color indexed="81"/>
            <rFont val="Tahoma"/>
            <family val="2"/>
          </rPr>
          <t>Ab Krausenbach, Kehrweg, Parkplatz Bushaltestelle an der Brücke</t>
        </r>
      </text>
    </comment>
    <comment ref="A23" authorId="1">
      <text>
        <r>
          <rPr>
            <sz val="9"/>
            <color indexed="81"/>
            <rFont val="Tahoma"/>
            <family val="2"/>
          </rPr>
          <t xml:space="preserve">Ab Krausenbach, Kehrweg (Parkplatz Bushaltestelle an der Brücke) dann Grabenweg, Kreuzsteintor, Eselsweg, Kreuztor, Spessart-Hochstraße, </t>
        </r>
        <r>
          <rPr>
            <b/>
            <sz val="9"/>
            <color indexed="81"/>
            <rFont val="Tahoma"/>
            <family val="2"/>
          </rPr>
          <t>Hohe Warte "Sonnhöh" (572 max)</t>
        </r>
      </text>
    </comment>
    <comment ref="A24" authorId="1">
      <text>
        <r>
          <rPr>
            <sz val="9"/>
            <color indexed="81"/>
            <rFont val="Tahoma"/>
            <family val="2"/>
          </rPr>
          <t>Ab Wintersbach, Parkplatz Kindergarten an der Brücke</t>
        </r>
      </text>
    </comment>
    <comment ref="A25" authorId="1">
      <text>
        <r>
          <rPr>
            <sz val="9"/>
            <color indexed="81"/>
            <rFont val="Tahoma"/>
            <charset val="1"/>
          </rPr>
          <t xml:space="preserve">Eselsweg
</t>
        </r>
        <r>
          <rPr>
            <sz val="8"/>
            <color indexed="81"/>
            <rFont val="Tahoma"/>
            <family val="2"/>
          </rPr>
          <t>2014-09-14, 12:00 - 15:50, 3:50 br, 20 °C heiter bis wolkig</t>
        </r>
      </text>
    </comment>
    <comment ref="A26" authorId="0">
      <text>
        <r>
          <rPr>
            <sz val="9"/>
            <color indexed="81"/>
            <rFont val="Tahoma"/>
            <family val="2"/>
          </rPr>
          <t>Wintersbach, Krausenbach, Altenbuch, Wildensee, Eschau, Hobbach, Höllhammer, Wintersbach</t>
        </r>
      </text>
    </comment>
    <comment ref="A27" authorId="0">
      <text>
        <r>
          <rPr>
            <sz val="9"/>
            <color indexed="81"/>
            <rFont val="Tahoma"/>
            <charset val="1"/>
          </rPr>
          <t>Start Seehotel Niedernberg; Obernburg, Mömlingen, Großostheim, Niedernberg; 2 Runden</t>
        </r>
      </text>
    </comment>
    <comment ref="G27" authorId="1">
      <text>
        <r>
          <rPr>
            <sz val="9"/>
            <color indexed="81"/>
            <rFont val="Tahoma"/>
            <charset val="1"/>
          </rPr>
          <t>Altmauerhöhe</t>
        </r>
      </text>
    </comment>
  </commentList>
</comments>
</file>

<file path=xl/comments14.xml><?xml version="1.0" encoding="utf-8"?>
<comments xmlns="http://schemas.openxmlformats.org/spreadsheetml/2006/main">
  <authors>
    <author>FAN</author>
    <author>fan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Ab Normalstartpunkt</t>
        </r>
      </text>
    </comment>
    <comment ref="O1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Attraktivste Tour</t>
        </r>
      </text>
    </comment>
    <comment ref="P1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Mittlere gewichtete Punktzahl</t>
        </r>
      </text>
    </comment>
    <comment ref="Q1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Zeitpunkte:
Kürzeste Anfahrtszeit =
Maximale Punktzahl</t>
        </r>
      </text>
    </comment>
    <comment ref="R1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Tourpunkte:
Längste Tour (MTB km) = maximale Punktzahl</t>
        </r>
      </text>
    </comment>
    <comment ref="S1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Passpunkte:
Höchster Pass (MTB Max) = maximale Punktzahl</t>
        </r>
      </text>
    </comment>
    <comment ref="T1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Höhendifferenz-Punkte:
Größte Höhendifferenz (MTB Diff) = maximale Punktzahl</t>
        </r>
      </text>
    </comment>
    <comment ref="U1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Gewichtung der Anfahrtszeit: Geringste Anfahrtszeit = größter Faktor</t>
        </r>
      </text>
    </comment>
    <comment ref="V1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Gewichtung der Ruhe RR Max:
100% optimal ruhig
80% völlig überlaufen
</t>
        </r>
      </text>
    </comment>
    <comment ref="A2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Hasloch - Geiersberg</t>
        </r>
      </text>
    </comment>
    <comment ref="G2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A3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Fränkisch Crumbach - Kreisspitze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I3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Neunkircher Höhe (Gipfel)
Kaiserturm 34 m =&gt; 639 m</t>
        </r>
      </text>
    </comment>
    <comment ref="A4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Oberursel - Großer Feldberg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Schmitten - Hoherodskopf</t>
        </r>
      </text>
    </comment>
    <comment ref="B5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Nidda, Rhönstraße 13</t>
        </r>
      </text>
    </comment>
    <comment ref="G5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Altenfeld - Wasserkuppe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Weitersweiler - Donnersberg</t>
        </r>
      </text>
    </comment>
    <comment ref="B7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Weitersweiler, Hauptstraße 2</t>
        </r>
      </text>
    </comment>
    <comment ref="G7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670 Sendeturm 204 m =&gt; 874 m
674 Ludwigsturm 27 m =&gt; 701 m</t>
        </r>
      </text>
    </comment>
    <comment ref="I7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Königsstuhl (Gipfel)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Maikammer - Kalmit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Kirchheim - Brucker Hölzle</t>
        </r>
      </text>
    </comment>
    <comment ref="B9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Kirchheim unter Teck, bei der Linde 1 (AS 57)</t>
        </r>
      </text>
    </comment>
    <comment ref="G9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Wirtschaftsweg Richtung Brucker Hölzle (830)</t>
        </r>
      </text>
    </comment>
    <comment ref="A10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Weiltingen - Hesselberg</t>
        </r>
      </text>
    </comment>
    <comment ref="B10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Weiltingen, Wilburgstetter Straße 3
Hinter Bahnübergang, links im Wald</t>
        </r>
      </text>
    </comment>
    <comment ref="F10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Wörnitz</t>
        </r>
      </text>
    </comment>
    <comment ref="G10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M10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Fränkisches Keuper-Lias-Land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Achern - Hornisgrinde Sendeturm</t>
        </r>
      </text>
    </comment>
    <comment ref="B11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Alternative (140) Navi: Achern, Fautenbacher Straße 25</t>
        </r>
      </text>
    </comment>
    <comment ref="G11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Stichstraße</t>
        </r>
      </text>
    </comment>
    <comment ref="I11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Hornisgrinde (Gipfel)
Bismarckturm: 1171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Hallenfeld - Kahler Asten</t>
        </r>
      </text>
    </comment>
    <comment ref="B12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Ortsausgang, Freibad, rechte Seite; Navi: Hallenberg, Nuhnestraße 32</t>
        </r>
      </text>
    </comment>
    <comment ref="G12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13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Katzenloch - Erbeskopf</t>
        </r>
      </text>
    </comment>
    <comment ref="G13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14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Lübenbach - Schneekopf</t>
        </r>
      </text>
    </comment>
    <comment ref="B14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Zella-Mehlis, Lubenbachstraße 2</t>
        </r>
      </text>
    </comment>
    <comment ref="G14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Sender</t>
        </r>
      </text>
    </comment>
    <comment ref="I14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Schneekopf (Gipfel)
Schneekopf-Turm: 1000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Bischofsgrün - Schneeberg</t>
        </r>
      </text>
    </comment>
    <comment ref="B15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Bischofsgrün, Fröbershammer 8A</t>
        </r>
      </text>
    </comment>
    <comment ref="F15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Weißer Main</t>
        </r>
      </text>
    </comment>
    <comment ref="G15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16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Schnappenhammer - Döbraberg</t>
        </r>
      </text>
    </comment>
    <comment ref="G16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17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Titisee - Feldberg</t>
        </r>
      </text>
    </comment>
    <comment ref="G17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Pass</t>
        </r>
      </text>
    </comment>
    <comment ref="I17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Feldberg (Gipfel)</t>
        </r>
      </text>
    </comment>
    <comment ref="A18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Günterstal - Schauinsland</t>
        </r>
      </text>
    </comment>
    <comment ref="B18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Schauinslandstraße 128, Günterstal, Freiburg im Breisgau</t>
        </r>
      </text>
    </comment>
    <comment ref="G18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Bergstation</t>
        </r>
      </text>
    </comment>
    <comment ref="I18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Leutkirch-Süd - Ursersberg</t>
        </r>
      </text>
    </comment>
    <comment ref="B19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Navi: Leutkirch im Allgäu, Steinbeisstraße 2
</t>
        </r>
      </text>
    </comment>
    <comment ref="G19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</t>
        </r>
      </text>
    </comment>
    <comment ref="I19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Ursersberg (Gipfel)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Seesen - Harzhochstraße</t>
        </r>
      </text>
    </comment>
    <comment ref="G20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</t>
        </r>
      </text>
    </comment>
    <comment ref="I20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Auf dem Acker (Gipfel)</t>
        </r>
      </text>
    </comment>
    <comment ref="A21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Staufen im Breisgau - Belchen</t>
        </r>
      </text>
    </comment>
    <comment ref="B21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Staufen im Breisgau, Münstertäler Straße 43</t>
        </r>
      </text>
    </comment>
    <comment ref="G21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Scheuermatt-Pass</t>
        </r>
      </text>
    </comment>
    <comment ref="I21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Parkplatz vor Fischen - Obermaiselstein - Riedbergpass</t>
        </r>
      </text>
    </comment>
    <comment ref="B22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Fischen, Weilerstraße 42</t>
        </r>
      </text>
    </comment>
    <comment ref="G22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Riedbergpass</t>
        </r>
      </text>
    </comment>
    <comment ref="I22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Bolgen (Pass)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Bodenmais (Kothinghammer) - Bretterschachten</t>
        </r>
      </text>
    </comment>
    <comment ref="G23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Bretterschachten (Pass)</t>
        </r>
      </text>
    </comment>
    <comment ref="I23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Großer Arber (Gipfel)</t>
        </r>
      </text>
    </comment>
    <comment ref="A24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Hasserode - Brocken</t>
        </r>
      </text>
    </comment>
    <comment ref="G24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25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Thal (Kirche) - Furkajoch</t>
        </r>
      </text>
    </comment>
    <comment ref="G25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</t>
        </r>
      </text>
    </comment>
    <comment ref="A26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Partenen - Bielerhöhe
(Offen Mai - Oktober einschl.)</t>
        </r>
      </text>
    </comment>
    <comment ref="G26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
Silvretta-Stausee</t>
        </r>
      </text>
    </comment>
    <comment ref="A27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Sölden - Rettenbachferner
(Offen Juni - Oktober einschl.)</t>
        </r>
      </text>
    </comment>
    <comment ref="G27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Rettenbachferner (Parkplatz)</t>
        </r>
      </text>
    </comment>
    <comment ref="I27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Tiefenbachferner (Tunnel)</t>
        </r>
      </text>
    </comment>
    <comment ref="A28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Prad - Stilfserjoch
(Offen Juni - Oktober einschl.)</t>
        </r>
      </text>
    </comment>
    <comment ref="G28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</t>
        </r>
      </text>
    </comment>
    <comment ref="I28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Localita Stelvio</t>
        </r>
      </text>
    </comment>
  </commentList>
</comments>
</file>

<file path=xl/comments15.xml><?xml version="1.0" encoding="utf-8"?>
<comments xmlns="http://schemas.openxmlformats.org/spreadsheetml/2006/main">
  <authors>
    <author>FAN</author>
    <author>fan</author>
    <author>HP</author>
  </authors>
  <commentList>
    <comment ref="A13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"Romantiktour" Alpen-O</t>
        </r>
      </text>
    </comment>
    <comment ref="F14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Stuhleck Gipfel</t>
        </r>
      </text>
    </comment>
    <comment ref="E15" authorId="1">
      <text>
        <r>
          <rPr>
            <b/>
            <sz val="8"/>
            <color indexed="81"/>
            <rFont val="Tahoma"/>
          </rPr>
          <t>fan:</t>
        </r>
        <r>
          <rPr>
            <sz val="8"/>
            <color indexed="81"/>
            <rFont val="Tahoma"/>
          </rPr>
          <t xml:space="preserve">
Kapfenberg an der Mürz</t>
        </r>
      </text>
    </comment>
    <comment ref="F15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Schanzsattel Passhöhe</t>
        </r>
      </text>
    </comment>
    <comment ref="A16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Bonus-Tour: Panoramastraße Richtung </t>
        </r>
        <r>
          <rPr>
            <b/>
            <sz val="9"/>
            <color indexed="81"/>
            <rFont val="Tahoma"/>
            <family val="2"/>
          </rPr>
          <t>Bürgeralm</t>
        </r>
      </text>
    </comment>
    <comment ref="F16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Anfahrt Panoramastraße
Bürgeralm (1810)</t>
        </r>
      </text>
    </comment>
    <comment ref="F17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Anfahrt Rauschkogel (1720)</t>
        </r>
      </text>
    </comment>
    <comment ref="F18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Niederalpl Passhöhe</t>
        </r>
      </text>
    </comment>
    <comment ref="F24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1940 Parkplatz</t>
        </r>
      </text>
    </comment>
    <comment ref="F38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Tremalzo-Tunnel: 1880; Tremalzo-Pass: 1788</t>
        </r>
      </text>
    </comment>
    <comment ref="A44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Startpunkt Parkplatz Fejtas</t>
        </r>
      </text>
    </comment>
    <comment ref="F44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Montaña del Estrecho</t>
        </r>
      </text>
    </comment>
    <comment ref="A45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Naturparkplatz oberhalb Casa Forestal</t>
        </r>
      </text>
    </comment>
    <comment ref="A46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Las Portelas Richtung </t>
        </r>
        <r>
          <rPr>
            <i/>
            <sz val="9"/>
            <color indexed="81"/>
            <rFont val="Tahoma"/>
            <family val="2"/>
          </rPr>
          <t>Cruz de Gala</t>
        </r>
        <r>
          <rPr>
            <sz val="9"/>
            <color indexed="81"/>
            <rFont val="Tahoma"/>
            <charset val="1"/>
          </rPr>
          <t>; Abbruch wegen Baustelle; Abfahrt Speiche gebrochen</t>
        </r>
      </text>
    </comment>
    <comment ref="E46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Las Portelas</t>
        </r>
      </text>
    </comment>
    <comment ref="F46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Unbenannte Kehre</t>
        </r>
      </text>
    </comment>
    <comment ref="A47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Buzanada, Ende Ortseingang Vilaflor</t>
        </r>
      </text>
    </comment>
    <comment ref="E47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Finca in Buzanada</t>
        </r>
      </text>
    </comment>
    <comment ref="F47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Ortsschild Vilaflor</t>
        </r>
      </text>
    </comment>
    <comment ref="A48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Buzanada, Ende unbenannte Kehre oberhalb Vilaflor wegen Wassermangels</t>
        </r>
      </text>
    </comment>
    <comment ref="E48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Finca in Buzanada</t>
        </r>
      </text>
    </comment>
    <comment ref="F48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Unbenannte Kehre oberhalb Campingplatz Las Lajas</t>
        </r>
      </text>
    </comment>
    <comment ref="A53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Startpunkt Parkplatz oberhalb Vilaflor</t>
        </r>
      </text>
    </comment>
    <comment ref="E53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nach Vilaflor</t>
        </r>
      </text>
    </comment>
    <comment ref="F53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Pasaje Lunar</t>
        </r>
      </text>
    </comment>
    <comment ref="A54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abzweigung Straße zum Observatorio (Hist.)</t>
        </r>
      </text>
    </comment>
    <comment ref="E54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Kreuzung im Wald</t>
        </r>
      </text>
    </comment>
    <comment ref="F54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 zwischen Montaña Colorada und Abreo</t>
        </r>
      </text>
    </comment>
    <comment ref="A55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Taucho, Ortsausgang</t>
        </r>
      </text>
    </comment>
    <comment ref="E55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Ortsausgang Taucho</t>
        </r>
      </text>
    </comment>
    <comment ref="F55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Mirador El Retamar</t>
        </r>
      </text>
    </comment>
    <comment ref="A56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km 7,7 Canadas Straße, Besucherparkplatz</t>
        </r>
      </text>
    </comment>
    <comment ref="E56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Eingang Nationalpark</t>
        </r>
      </text>
    </comment>
    <comment ref="F56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Abzweig Fußweg Montaña Estrecho</t>
        </r>
      </text>
    </comment>
    <comment ref="F61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Montana del Estrecho</t>
        </r>
      </text>
    </comment>
    <comment ref="A62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Teer; Gipfel</t>
        </r>
      </text>
    </comment>
    <comment ref="F62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Cruz de Gala</t>
        </r>
      </text>
    </comment>
    <comment ref="A63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Hist.</t>
        </r>
      </text>
    </comment>
    <comment ref="F63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 bei der Montaña de la Grieta auf dem Cañadas-Höhenweg (2013 zona militar)</t>
        </r>
      </text>
    </comment>
    <comment ref="A64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Teer; Pass</t>
        </r>
      </text>
    </comment>
    <comment ref="F65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Las Lagunetas</t>
        </r>
      </text>
    </comment>
    <comment ref="A66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Teer; Gipfel</t>
        </r>
      </text>
    </comment>
    <comment ref="F66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El Gaitero</t>
        </r>
      </text>
    </comment>
    <comment ref="A68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Teer; Pass</t>
        </r>
      </text>
    </comment>
    <comment ref="F68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Wendepunkt ca. 200 m vor dem Parkplatz</t>
        </r>
      </text>
    </comment>
    <comment ref="A73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Prad, Stilfserbrücke, Gomagoi, Sulden und zurück
</t>
        </r>
        <r>
          <rPr>
            <sz val="8"/>
            <color indexed="81"/>
            <rFont val="Tahoma"/>
            <family val="2"/>
          </rPr>
          <t>Wetter: Sonnig, Schauer, Sonnig</t>
        </r>
      </text>
    </comment>
    <comment ref="E73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Prad, Hotel Stern</t>
        </r>
      </text>
    </comment>
    <comment ref="F73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Zivilschutzzentrum (Kartentafel)</t>
        </r>
      </text>
    </comment>
    <comment ref="A74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Prad, Stilfserbrücke, Gomagoi, Trafoi, Franzenshöhe (2188), Stilfser Joch (2757), Umbrail-Pass (2503), Santa Maria, Taufers, Glurns, Prad
</t>
        </r>
        <r>
          <rPr>
            <sz val="8"/>
            <color indexed="81"/>
            <rFont val="Tahoma"/>
            <family val="2"/>
          </rPr>
          <t>Wetter: Sonnig, trocken, Kaiserwetter</t>
        </r>
      </text>
    </comment>
    <comment ref="F74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Passhöhe</t>
        </r>
      </text>
    </comment>
    <comment ref="A75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Prad, Glurns, Taufers, Santa Maria, Fuldera Dora, Tschierv und zurück
</t>
        </r>
        <r>
          <rPr>
            <sz val="8"/>
            <color indexed="81"/>
            <rFont val="Tahoma"/>
            <family val="2"/>
          </rPr>
          <t>Wetter: Stark bewölkt, kurzzeitig leichter Regen, Wendepunkt 14 °C</t>
        </r>
      </text>
    </comment>
    <comment ref="F75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Wendepunkt Tschierv (Touristentafel)</t>
        </r>
      </text>
    </comment>
    <comment ref="A80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Chio</t>
        </r>
      </text>
    </comment>
    <comment ref="F80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Hernan Perez</t>
        </r>
      </text>
    </comment>
    <comment ref="A81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an der TF373</t>
        </r>
      </text>
    </comment>
    <comment ref="F81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Montana de la Cruz</t>
        </r>
      </text>
    </comment>
    <comment ref="A82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Puerto de Erjos</t>
        </r>
      </text>
    </comment>
    <comment ref="F82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Cruz de Gala</t>
        </r>
      </text>
    </comment>
    <comment ref="A83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Unterer Parkplatz Corral del Nino</t>
        </r>
      </text>
    </comment>
    <comment ref="F83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</t>
        </r>
      </text>
    </comment>
    <comment ref="A84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Arafo-Straße, ca. 100 m oberhalb Schotterweg</t>
        </r>
      </text>
    </comment>
    <comment ref="A85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Hinter Vilaflor ca. 200 m unterhalb Schotterweg</t>
        </r>
      </text>
    </comment>
    <comment ref="A86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Observatorio Izana gegenüber Schotterweg</t>
        </r>
      </text>
    </comment>
    <comment ref="F86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</t>
        </r>
      </text>
    </comment>
    <comment ref="A87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Arenas Negras</t>
        </r>
      </text>
    </comment>
    <comment ref="F87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Montana Cascajo-Pass</t>
        </r>
      </text>
    </comment>
    <comment ref="A88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Las Lagunettas</t>
        </r>
      </text>
    </comment>
    <comment ref="F88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Las Lagunettas</t>
        </r>
      </text>
    </comment>
    <comment ref="A89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Einmündung Schotterweg "Abreo"</t>
        </r>
      </text>
    </comment>
    <comment ref="F89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Abreo-Pass</t>
        </r>
      </text>
    </comment>
    <comment ref="A90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Aussicht Pico Viejo</t>
        </r>
      </text>
    </comment>
    <comment ref="F90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Boca Tauce</t>
        </r>
      </text>
    </comment>
    <comment ref="A91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Cumbre-Straße (Eins höher als die Lagunettas in Kurve)</t>
        </r>
      </text>
    </comment>
    <comment ref="F91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El Gaitero</t>
        </r>
      </text>
    </comment>
    <comment ref="A92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Besucherparkplatz km 7,7 Canadas Straße</t>
        </r>
      </text>
    </comment>
    <comment ref="F92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Kreuzung Montana Estrecho</t>
        </r>
      </text>
    </comment>
    <comment ref="A97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Chio</t>
        </r>
      </text>
    </comment>
    <comment ref="F97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Hernan Perez</t>
        </r>
      </text>
    </comment>
    <comment ref="A98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an der TF373</t>
        </r>
      </text>
    </comment>
    <comment ref="F98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Montana de la Cruz</t>
        </r>
      </text>
    </comment>
    <comment ref="A99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Arafo-Straße, ca. 100 m oberhalb Schotterweg</t>
        </r>
      </text>
    </comment>
    <comment ref="A100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Ab Anlage bis Kreisel Las Chafiras</t>
        </r>
      </text>
    </comment>
    <comment ref="E100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Küstenstraße</t>
        </r>
      </text>
    </comment>
    <comment ref="F100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Kreisel</t>
        </r>
      </text>
    </comment>
    <comment ref="A101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Aussicht Pico Viejo</t>
        </r>
      </text>
    </comment>
    <comment ref="F101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Boca Tauce</t>
        </r>
      </text>
    </comment>
    <comment ref="A102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Observatorio Izana gegenüber Schotterweg</t>
        </r>
      </text>
    </comment>
    <comment ref="F102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Hütte</t>
        </r>
      </text>
    </comment>
    <comment ref="F107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Biberalpe</t>
        </r>
      </text>
    </comment>
    <comment ref="F108" authorId="1">
      <text>
        <r>
          <rPr>
            <sz val="9"/>
            <color indexed="81"/>
            <rFont val="Tahoma"/>
            <charset val="1"/>
          </rPr>
          <t>Grasgehren</t>
        </r>
      </text>
    </comment>
    <comment ref="F120" authorId="1">
      <text>
        <r>
          <rPr>
            <sz val="9"/>
            <color indexed="81"/>
            <rFont val="Tahoma"/>
            <charset val="1"/>
          </rPr>
          <t>Tunnel Werkstraße</t>
        </r>
      </text>
    </comment>
    <comment ref="F124" authorId="2">
      <text>
        <r>
          <rPr>
            <sz val="9"/>
            <color indexed="81"/>
            <rFont val="Tahoma"/>
            <family val="2"/>
          </rPr>
          <t>Rechtsknick nach Gasthaus</t>
        </r>
      </text>
    </comment>
    <comment ref="F126" authorId="2">
      <text>
        <r>
          <rPr>
            <sz val="9"/>
            <color indexed="81"/>
            <rFont val="Tahoma"/>
            <family val="2"/>
          </rPr>
          <t>Rohrmoossattel</t>
        </r>
      </text>
    </comment>
  </commentList>
</comments>
</file>

<file path=xl/comments16.xml><?xml version="1.0" encoding="utf-8"?>
<comments xmlns="http://schemas.openxmlformats.org/spreadsheetml/2006/main">
  <authors>
    <author>fan</author>
  </authors>
  <commentList>
    <comment ref="Q1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Radmarathon</t>
        </r>
      </text>
    </comment>
    <comment ref="B14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Teneriffa</t>
        </r>
      </text>
    </comment>
    <comment ref="K29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Radmarathon Griesheim</t>
        </r>
      </text>
    </comment>
    <comment ref="M40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 (S+) = Längste zusammenhängende Serie von Radtagen</t>
        </r>
      </text>
    </comment>
    <comment ref="M41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 (S-) = Längste zusammenhängende Serie von radfreien Tagen</t>
        </r>
      </text>
    </comment>
  </commentList>
</comments>
</file>

<file path=xl/comments17.xml><?xml version="1.0" encoding="utf-8"?>
<comments xmlns="http://schemas.openxmlformats.org/spreadsheetml/2006/main">
  <authors>
    <author>fan</author>
  </authors>
  <commentList>
    <comment ref="V1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Triathlon</t>
        </r>
      </text>
    </comment>
    <comment ref="Z28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Churfranken-Triathlon</t>
        </r>
      </text>
    </comment>
    <comment ref="AL31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Teneriffa</t>
        </r>
      </text>
    </comment>
    <comment ref="M42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18.xml><?xml version="1.0" encoding="utf-8"?>
<comments xmlns="http://schemas.openxmlformats.org/spreadsheetml/2006/main">
  <authors>
    <author>fan</author>
    <author>FAN</author>
  </authors>
  <commentList>
    <comment ref="V1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Laufmarathon</t>
        </r>
      </text>
    </comment>
    <comment ref="AP15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17 °C</t>
        </r>
      </text>
    </comment>
    <comment ref="AP16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20 °C</t>
        </r>
      </text>
    </comment>
    <comment ref="M42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19.xml><?xml version="1.0" encoding="utf-8"?>
<comments xmlns="http://schemas.openxmlformats.org/spreadsheetml/2006/main">
  <authors>
    <author>fan</author>
  </authors>
  <commentList>
    <comment ref="V1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Stelvio</t>
        </r>
      </text>
    </comment>
    <comment ref="AH7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England</t>
        </r>
      </text>
    </comment>
    <comment ref="AP27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Ski</t>
        </r>
      </text>
    </comment>
    <comment ref="J30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Infekt</t>
        </r>
      </text>
    </comment>
    <comment ref="M42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.xml><?xml version="1.0" encoding="utf-8"?>
<comments xmlns="http://schemas.openxmlformats.org/spreadsheetml/2006/main">
  <authors>
    <author>FAN</author>
    <author>fan</author>
    <author>HP</author>
  </authors>
  <commentList>
    <comment ref="I1" authorId="0">
      <text>
        <r>
          <rPr>
            <sz val="9"/>
            <color indexed="81"/>
            <rFont val="Tahoma"/>
            <charset val="1"/>
          </rPr>
          <t>Ø Steigung nach Gesamtstrecke</t>
        </r>
      </text>
    </comment>
    <comment ref="A2" authorId="1">
      <text>
        <r>
          <rPr>
            <sz val="9"/>
            <color indexed="81"/>
            <rFont val="Tahoma"/>
            <charset val="1"/>
          </rPr>
          <t xml:space="preserve">Radweg bis Tremhof </t>
        </r>
        <r>
          <rPr>
            <i/>
            <sz val="9"/>
            <color indexed="81"/>
            <rFont val="Tahoma"/>
            <family val="2"/>
          </rPr>
          <t>(126 min)</t>
        </r>
        <r>
          <rPr>
            <sz val="9"/>
            <color indexed="81"/>
            <rFont val="Tahoma"/>
            <charset val="1"/>
          </rPr>
          <t xml:space="preserve">, Straße bis TBB: Boxtal, Mondfeld, Grünenwört, Bestenheid, Wertheim (Tauber: 71 km; 150 Hm), Waldenhausen, Reichholzheim, Bronnbach, Gamburg, Niklashausen, Werbach, Hochhausen, Tauberbischofsheim </t>
        </r>
        <r>
          <rPr>
            <b/>
            <sz val="9"/>
            <color indexed="81"/>
            <rFont val="Tahoma"/>
            <family val="2"/>
          </rPr>
          <t>(180 max)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>Sonntag 2015-08-02 8:00 - 12:58 brutto, 15 - 25 °C, Sonnig, 2ℓ, 2 Riegel, 100 km gesperrte Strecke</t>
        </r>
      </text>
    </comment>
    <comment ref="A3" authorId="2">
      <text>
        <r>
          <rPr>
            <sz val="9"/>
            <color indexed="81"/>
            <rFont val="Tahoma"/>
            <family val="2"/>
          </rPr>
          <t xml:space="preserve">MR: Kleinheubach, Großheubach, Promilleweg, Miltenberg, Martinsbrücke, Bürgstadt, Freudenberg, Kirschfurt, Reistenhausen, Fechenbach, Dorfprozelten, Stadtprozelten, Faulbach, Hasloch, Kreuzwertheim, Wertheim, Eichel, Urphar, Bettingen, Homburg, Lengfurt, Marktheidenfeld
</t>
        </r>
        <r>
          <rPr>
            <sz val="8"/>
            <color indexed="81"/>
            <rFont val="Tahoma"/>
            <family val="2"/>
          </rPr>
          <t>Samstag 2019-11-30 9:00 - 15:00 3 - 5 °C; Kein Wind, Zwischenhoch, 0.75ℓ, 1 Riegel (2 wären besser)</t>
        </r>
      </text>
    </comment>
    <comment ref="G3" authorId="2">
      <text>
        <r>
          <rPr>
            <sz val="9"/>
            <color indexed="81"/>
            <rFont val="Tahoma"/>
            <family val="2"/>
          </rPr>
          <t>143 Endpunkt Erlenbach-Mündung in Marktheidenfeld</t>
        </r>
      </text>
    </comment>
    <comment ref="A4" authorId="1">
      <text>
        <r>
          <rPr>
            <sz val="9"/>
            <color indexed="81"/>
            <rFont val="Tahoma"/>
            <charset val="1"/>
          </rPr>
          <t xml:space="preserve">MR: Kleinheubach, Großheubach, Promilleweg, Miltenberg, Martinsbrücke, Bürgstadt, Freudenberg, Kirschfurt, Reistenhausen, Fechenbach, Dorfprozelten, Stadtprozelten, Faulbach, Hasloch, Kreuzwertheim, Wertheim, Eichel, Urphar, Bettingen, Homburg
</t>
        </r>
        <r>
          <rPr>
            <sz val="8"/>
            <color indexed="81"/>
            <rFont val="Tahoma"/>
            <family val="2"/>
          </rPr>
          <t>Samstag 2016-11-12 9:30 - 15:00 (5:30 br) 3 - 5 °C; Kein Wind, Hochdruckwetter, 0.75ℓ, 1 Riegel, 6 Pausen</t>
        </r>
      </text>
    </comment>
    <comment ref="A5" authorId="1">
      <text>
        <r>
          <rPr>
            <sz val="9"/>
            <color indexed="81"/>
            <rFont val="Tahoma"/>
            <charset val="1"/>
          </rPr>
          <t xml:space="preserve">MR: Kleinheubach, Großheubach, Promilleweg, Miltenberg, Martinsbrücke, Bürgstadt, Freudenberg, Kirschfurt, Reistenhausen, Fechenbach, Dorfprozelten, Stadtprozelten, Faulbach, Hasloch, Kreuzwertheim, Wertheim, Eichel, Urphar, Bettingen
</t>
        </r>
        <r>
          <rPr>
            <sz val="8"/>
            <color indexed="81"/>
            <rFont val="Tahoma"/>
            <family val="2"/>
          </rPr>
          <t>Samstag 2016-03-19 9:15 - 13:30 4 - 6 °C; Kein Wind, sehr wolkig - leichtester Sprühregen, 0.75ℓ</t>
        </r>
      </text>
    </comment>
    <comment ref="A6" authorId="1">
      <text>
        <r>
          <rPr>
            <sz val="9"/>
            <color indexed="81"/>
            <rFont val="Tahoma"/>
            <charset val="1"/>
          </rPr>
          <t xml:space="preserve">MR: Kleinheubach, Großheubach, Promilleweg, Miltenberg, Martinsbrücke, Bürgstadt, Freudenberg, Kirschfurt, Reistenhausen, Fechenbach, Dorfprozelten, Stadtprozelten, Faulbach, Hasloch, Kreuzwertheim, Bahnhof, Staustufe Eichel, Wald
</t>
        </r>
        <r>
          <rPr>
            <sz val="8"/>
            <color indexed="81"/>
            <rFont val="Tahoma"/>
            <family val="2"/>
          </rPr>
          <t>Sonntag 2015-05-10 7:05 - 11:05 4:00 br. 8 Min P; 9 - 19 °C; lang-lang - kurz-kurz, Heiter bis Wolkig, 1.5ℓ
Ende Teer: 87,0 km</t>
        </r>
      </text>
    </comment>
    <comment ref="A7" authorId="0">
      <text>
        <r>
          <rPr>
            <sz val="9"/>
            <color indexed="81"/>
            <rFont val="Tahoma"/>
            <charset val="1"/>
          </rPr>
          <t>Main-Radweg (außer Obernburg - Niedernberg) bis AB Willigsbrücke, Wendekreisel Hafen (Wertfstraße)</t>
        </r>
      </text>
    </comment>
    <comment ref="A8" authorId="1">
      <text>
        <r>
          <rPr>
            <sz val="9"/>
            <color indexed="81"/>
            <rFont val="Tahoma"/>
            <charset val="1"/>
          </rPr>
          <t>Main-Radweg, Wendepunkt 0,6 km hinter Ebertbrücke (rechtsmainisch)</t>
        </r>
      </text>
    </comment>
    <comment ref="A9" authorId="0">
      <text>
        <r>
          <rPr>
            <sz val="9"/>
            <color indexed="81"/>
            <rFont val="Tahoma"/>
            <charset val="1"/>
          </rPr>
          <t>Main-Radweg (außer Obernburg - Niedernberg) bis AB Willigsbrücke, Wendepunkt Ebertbrücke (linksmainisch)</t>
        </r>
      </text>
    </comment>
    <comment ref="A10" authorId="1">
      <text>
        <r>
          <rPr>
            <sz val="9"/>
            <color indexed="81"/>
            <rFont val="Tahoma"/>
            <charset val="1"/>
          </rPr>
          <t xml:space="preserve">MR: Kleinheubach, Großheubach, Promilleweg, Miltenberg, Martinsbrücke, Bürgstadt, Freudenberg, Kirschfurt, Reistenhausen, Fechenbach, Dorfprozelten, Stadtprozelten, Faulbach, Hasloch, Kreuzwertheim, Wende nach Brauerei
</t>
        </r>
        <r>
          <rPr>
            <sz val="8"/>
            <color indexed="81"/>
            <rFont val="Tahoma"/>
            <family val="2"/>
          </rPr>
          <t>2014-11-29 9:45 - 13:30 3 °C Hochnebel; Wenig Radverkehr</t>
        </r>
      </text>
    </comment>
    <comment ref="A11" authorId="2">
      <text>
        <r>
          <rPr>
            <sz val="9"/>
            <color indexed="81"/>
            <rFont val="Tahoma"/>
            <family val="2"/>
          </rPr>
          <t xml:space="preserve">Radweg bis Freudenberg Staustufe (126 min), Straße bis TBB: Tremhof, Boxtal, Mondfeld, Grünenwört, </t>
        </r>
        <r>
          <rPr>
            <b/>
            <sz val="9"/>
            <color indexed="81"/>
            <rFont val="Tahoma"/>
            <family val="2"/>
          </rPr>
          <t>Bestenheid (157 max)</t>
        </r>
        <r>
          <rPr>
            <sz val="9"/>
            <color indexed="81"/>
            <rFont val="Tahoma"/>
            <family val="2"/>
          </rPr>
          <t xml:space="preserve">, Wertheim Taubermündung
</t>
        </r>
        <r>
          <rPr>
            <sz val="8"/>
            <color indexed="81"/>
            <rFont val="Tahoma"/>
            <family val="2"/>
          </rPr>
          <t>Sonntag 2019-08-04 8:00 - 10:40 brutto, 13 - 23 °C, Neblig - Sonnig, 1,4ℓ, Strecke ab 10:00 gesperrt</t>
        </r>
      </text>
    </comment>
    <comment ref="A12" authorId="1">
      <text>
        <r>
          <rPr>
            <sz val="9"/>
            <color indexed="81"/>
            <rFont val="Tahoma"/>
            <charset val="1"/>
          </rPr>
          <t xml:space="preserve">MR: Kleinheubach, Großheubach, Promilleweg, Miltenberg, Martinsbrücke, Bürgstadt, Freudenberg, Kirschfurt, Reistenhausen, Fechenbach, Dorfprozelten, Stadtprozelten, Faulbach, Wende Hasloch 1. Bahnübergang
</t>
        </r>
        <r>
          <rPr>
            <sz val="8"/>
            <color indexed="81"/>
            <rFont val="Tahoma"/>
            <family val="2"/>
          </rPr>
          <t>Samstag 2015-05-02; 8:15 - 11:25; 9 - 13 °C; Heiter bis Wolkig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>Samstag 2015-10-24; 9:00 - 12:10; 5 °C; Hochnebel</t>
        </r>
      </text>
    </comment>
    <comment ref="A13" authorId="0">
      <text>
        <r>
          <rPr>
            <sz val="9"/>
            <color indexed="81"/>
            <rFont val="Tahoma"/>
            <charset val="1"/>
          </rPr>
          <t>Main-Radweg bis Obernburg, Großostheim</t>
        </r>
        <r>
          <rPr>
            <sz val="9"/>
            <color indexed="81"/>
            <rFont val="Tahoma"/>
            <family val="2"/>
          </rPr>
          <t xml:space="preserve"> (Ortsschild), </t>
        </r>
        <r>
          <rPr>
            <sz val="9"/>
            <color indexed="81"/>
            <rFont val="Tahoma"/>
            <charset val="1"/>
          </rPr>
          <t>Wende</t>
        </r>
      </text>
    </comment>
    <comment ref="A14" authorId="0">
      <text>
        <r>
          <rPr>
            <sz val="9"/>
            <color indexed="81"/>
            <rFont val="Tahoma"/>
            <charset val="1"/>
          </rPr>
          <t>Nur Main-Radweg; Wendepunkt Strommast nach Niedernberger Wasserturm.</t>
        </r>
      </text>
    </comment>
    <comment ref="A15" authorId="0">
      <text>
        <r>
          <rPr>
            <sz val="9"/>
            <color indexed="81"/>
            <rFont val="Tahoma"/>
            <charset val="1"/>
          </rPr>
          <t>Nur Main-Radweg; Wendepunkt im Ort bei Promenade</t>
        </r>
      </text>
    </comment>
    <comment ref="A16" authorId="0">
      <text>
        <r>
          <rPr>
            <b/>
            <u/>
            <sz val="9"/>
            <color indexed="81"/>
            <rFont val="Tahoma"/>
            <family val="2"/>
          </rPr>
          <t>Rennrad-Relaxed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Tahoma"/>
            <family val="2"/>
          </rPr>
          <t xml:space="preserve">Kleinheubach, Laudebach, Trennfurt, Wörth, Obernburg, </t>
        </r>
        <r>
          <rPr>
            <i/>
            <sz val="9"/>
            <color indexed="81"/>
            <rFont val="Tahoma"/>
            <family val="2"/>
          </rPr>
          <t>Mümling (117 min)</t>
        </r>
        <r>
          <rPr>
            <sz val="9"/>
            <color indexed="81"/>
            <rFont val="Tahoma"/>
            <family val="2"/>
          </rPr>
          <t xml:space="preserve">, Eisenbach, Neustädterhof, Mömlingen (Wendepunkt Anfang Radweg nach Höchst)
</t>
        </r>
        <r>
          <rPr>
            <sz val="8"/>
            <color indexed="81"/>
            <rFont val="Tahoma"/>
            <family val="2"/>
          </rPr>
          <t>CR: 2:12:58; 22,6 km/h</t>
        </r>
      </text>
    </comment>
    <comment ref="A17" authorId="1">
      <text>
        <r>
          <rPr>
            <sz val="9"/>
            <color indexed="81"/>
            <rFont val="Tahoma"/>
            <family val="2"/>
          </rPr>
          <t xml:space="preserve">MR: Kleinheubach, Großheubach, Promilleweg, Miltenberg, Martinsbrücke, Bürgstadt, Freudenberg, Kirschfurt, Reistenhausen, Fechenbach, Dorfprozelten, Wende Bahnübergang nach Gewerbegebiet
</t>
        </r>
        <r>
          <rPr>
            <sz val="8"/>
            <color indexed="81"/>
            <rFont val="Tahoma"/>
            <family val="2"/>
          </rPr>
          <t>Sa 2014-11-22 9:45 - 12:15 3-4 °C Diesig - Hochnebel
So 2015-09-27 7:40 - 9:55 9-13 °C Klar - Sonnig
So 2015-12-06 9:00 - 11:15 2-3°C Sonne, neblig ab Nord, abbruch empfohlen</t>
        </r>
      </text>
    </comment>
    <comment ref="A18" authorId="2">
      <text>
        <r>
          <rPr>
            <sz val="9"/>
            <color indexed="81"/>
            <rFont val="Tahoma"/>
            <family val="2"/>
          </rPr>
          <t xml:space="preserve">Vor Eisenbach links EI1 bis Teer-Ende
</t>
        </r>
        <r>
          <rPr>
            <sz val="8"/>
            <color indexed="81"/>
            <rFont val="Tahoma"/>
            <family val="2"/>
          </rPr>
          <t>Di 2020-03-21, 5 - 8°C, Wind, Wolkig bis Heiter</t>
        </r>
      </text>
    </comment>
    <comment ref="A19" authorId="0">
      <text>
        <r>
          <rPr>
            <sz val="9"/>
            <color indexed="81"/>
            <rFont val="Tahoma"/>
            <charset val="1"/>
          </rPr>
          <t>Main Radweg: Wendepunkt Festplatz vor Schotterweg</t>
        </r>
      </text>
    </comment>
    <comment ref="A20" authorId="0">
      <text>
        <r>
          <rPr>
            <sz val="9"/>
            <color indexed="81"/>
            <rFont val="Tahoma"/>
            <family val="2"/>
          </rPr>
          <t>Radweg Kleinheubach, Großheubach, Promilleweg, Miltenberg, Martinsbrücke, Bürgstadt, Freudenberg, Tremhof &amp; retour</t>
        </r>
      </text>
    </comment>
    <comment ref="A21" authorId="1">
      <text>
        <r>
          <rPr>
            <sz val="9"/>
            <color indexed="81"/>
            <rFont val="Tahoma"/>
            <charset val="1"/>
          </rPr>
          <t>MR, B496 Überführung, Wendepunkt Ortseingang</t>
        </r>
      </text>
    </comment>
    <comment ref="A22" authorId="0">
      <text>
        <r>
          <rPr>
            <sz val="9"/>
            <color indexed="81"/>
            <rFont val="Tahoma"/>
            <charset val="1"/>
          </rPr>
          <t>Main-Radweg, dann B469 Unterführung, Überführung &amp; zurück</t>
        </r>
      </text>
    </comment>
    <comment ref="A23" authorId="0">
      <text>
        <r>
          <rPr>
            <sz val="9"/>
            <color indexed="81"/>
            <rFont val="Tahoma"/>
            <charset val="1"/>
          </rPr>
          <t>Wendepunkt: Schnittpunkt Radweg mit alter B469</t>
        </r>
      </text>
    </comment>
    <comment ref="A24" authorId="1">
      <text>
        <r>
          <rPr>
            <sz val="9"/>
            <color indexed="81"/>
            <rFont val="Tahoma"/>
            <charset val="1"/>
          </rPr>
          <t>Mainradweg</t>
        </r>
      </text>
    </comment>
    <comment ref="A25" authorId="0">
      <text>
        <r>
          <rPr>
            <sz val="9"/>
            <color indexed="81"/>
            <rFont val="Tahoma"/>
            <charset val="1"/>
          </rPr>
          <t>Main Radweg: Wendepunkt Linksknick nach Wörth</t>
        </r>
      </text>
    </comment>
    <comment ref="A26" authorId="1">
      <text>
        <r>
          <rPr>
            <sz val="9"/>
            <color indexed="81"/>
            <rFont val="Tahoma"/>
            <charset val="1"/>
          </rPr>
          <t xml:space="preserve">Ums Feuerwehrhaus, Großheubach unterster Weg, Klingenberg Leinrittweg bis Erlenbach Schiffswerft &amp; Retour
</t>
        </r>
        <r>
          <rPr>
            <sz val="8"/>
            <color indexed="81"/>
            <rFont val="Tahoma"/>
            <family val="2"/>
          </rPr>
          <t>Samstag, 2015-04-11 9:50 - 11:15 15 °C teils sonnig</t>
        </r>
      </text>
    </comment>
    <comment ref="A27" authorId="0">
      <text>
        <r>
          <rPr>
            <sz val="9"/>
            <color indexed="81"/>
            <rFont val="Tahoma"/>
            <charset val="1"/>
          </rPr>
          <t xml:space="preserve">Nur Radweg: Kleinheubach, Großheubach, Miltenberg, Bürgstadt, Freudenberg, </t>
        </r>
        <r>
          <rPr>
            <i/>
            <sz val="9"/>
            <color indexed="81"/>
            <rFont val="Tahoma"/>
            <family val="2"/>
          </rPr>
          <t>Wendepunkt Schiffsanleger hinter Ortsschild</t>
        </r>
      </text>
    </comment>
    <comment ref="A28" authorId="0">
      <text>
        <r>
          <rPr>
            <sz val="9"/>
            <color indexed="81"/>
            <rFont val="Tahoma"/>
            <charset val="1"/>
          </rPr>
          <t>Wendeplatz Wiesenweg</t>
        </r>
      </text>
    </comment>
    <comment ref="A29" authorId="1">
      <text>
        <r>
          <rPr>
            <sz val="9"/>
            <color indexed="81"/>
            <rFont val="Tahoma"/>
            <charset val="1"/>
          </rPr>
          <t xml:space="preserve">Rechtsmainisch; Treppen, Steingrube, Bahnübergang, Leinpfad, Bahnünterführung, Teresienstraße bis Kapelle Ruine St. Michael &amp; Retour
</t>
        </r>
        <r>
          <rPr>
            <sz val="8"/>
            <color indexed="81"/>
            <rFont val="Tahoma"/>
            <family val="2"/>
          </rPr>
          <t>Sonntag 2016-02-28 3 - 5 °C bedeckt</t>
        </r>
      </text>
    </comment>
    <comment ref="A30" authorId="1">
      <text>
        <r>
          <rPr>
            <sz val="9"/>
            <color indexed="81"/>
            <rFont val="Tahoma"/>
            <charset val="1"/>
          </rPr>
          <t>MR: Kleinheubach, Laudenbach, Trennfurt, Klingenberg, Röllfeld, Großheubach, Kleinheubach
Anderstrum mit FB: 0:57:00 Ø 26,0</t>
        </r>
      </text>
    </comment>
    <comment ref="A31" authorId="0">
      <text>
        <r>
          <rPr>
            <sz val="9"/>
            <color indexed="81"/>
            <rFont val="Tahoma"/>
            <charset val="1"/>
          </rPr>
          <t>Weilbach, Amorbach, Buc</t>
        </r>
        <r>
          <rPr>
            <sz val="9"/>
            <color indexed="81"/>
            <rFont val="Tahoma"/>
            <family val="2"/>
          </rPr>
          <t>h (Ortsschild)
Nur "Radweg": 23,5 km 110 Hm 1:13 Hmax 200
Radweg/Straße bis 1. WW: 25,7 km; Hm 100; Hmax 220</t>
        </r>
      </text>
    </comment>
    <comment ref="A32" authorId="2">
      <text>
        <r>
          <rPr>
            <sz val="9"/>
            <color indexed="81"/>
            <rFont val="Tahoma"/>
            <charset val="1"/>
          </rPr>
          <t xml:space="preserve">B469 bis Schneeberg, Ortsausgang, letzte Kreuzung (181 max) &amp; retour
Sonntag </t>
        </r>
        <r>
          <rPr>
            <sz val="8"/>
            <color indexed="81"/>
            <rFont val="Tahoma"/>
            <family val="2"/>
          </rPr>
          <t>2017-05-21, 6:50 - 7:31, 6 °C, Heiter bis Wolkig</t>
        </r>
      </text>
    </comment>
    <comment ref="A33" authorId="0">
      <text>
        <r>
          <rPr>
            <sz val="9"/>
            <color indexed="81"/>
            <rFont val="Tahoma"/>
            <charset val="1"/>
          </rPr>
          <t>Radweg, Wendepunkt nach Campingplatz</t>
        </r>
      </text>
    </comment>
    <comment ref="A34" authorId="0">
      <text>
        <r>
          <rPr>
            <sz val="9"/>
            <color indexed="81"/>
            <rFont val="Tahoma"/>
            <charset val="1"/>
          </rPr>
          <t>Wendepunkt Campingplatz 1. Bootsanleger nur außerhalb der Campingzeit
Vernünftiges Ende: Abzweig vor Campingplatz 19,2 km
Richtung Straße: 19,4 km 33 Hm</t>
        </r>
      </text>
    </comment>
    <comment ref="A35" authorId="0">
      <text>
        <r>
          <rPr>
            <sz val="9"/>
            <color indexed="81"/>
            <rFont val="Tahoma"/>
            <charset val="1"/>
          </rPr>
          <t>Miltenberg - Weilbach - Miltenberg - Kleinheubach
km 1 Strommast, km 2 Wasserhaus, km 3 Bahnübergang, km 4 Hartungsstraße, km 5 Hauptstraße (Wende) km 6 Hartungsstraße, km 7 Bahnübergang, km 8 Wasserhaus, km 9 Strommast, km 10 Start, km 11 Bahnübergang, km 12 Im Steiner, km 13 Baugasse, km 14 Radweg-Anfang, km 15 Geflügelzucht (Wende), km 16 Radweg-Anfang, km 17 Baugasse, km 18 Im Steiner, km 19 Bahnübergang, km 20 Ziel</t>
        </r>
      </text>
    </comment>
    <comment ref="A36" authorId="0">
      <text>
        <r>
          <rPr>
            <sz val="9"/>
            <color indexed="81"/>
            <rFont val="Tahoma"/>
            <family val="2"/>
          </rPr>
          <t>Wendepunkt Schulstraße; ~20 km über Radweg alt und neu</t>
        </r>
      </text>
    </comment>
    <comment ref="A37" authorId="1">
      <text>
        <r>
          <rPr>
            <sz val="9"/>
            <color indexed="81"/>
            <rFont val="Tahoma"/>
            <charset val="1"/>
          </rPr>
          <t xml:space="preserve">Neuer Radweg ab 2011-07-30 Weilbach-Süd bis Amorbach Oberes Tor &amp; retour; Über Kreisel retour: gleiche Strecke
</t>
        </r>
        <r>
          <rPr>
            <sz val="8"/>
            <color indexed="81"/>
            <rFont val="Tahoma"/>
            <family val="2"/>
          </rPr>
          <t>Vernünftiges Ende: 15,1 km; 50 Hm</t>
        </r>
      </text>
    </comment>
    <comment ref="A38" authorId="0">
      <text>
        <r>
          <rPr>
            <sz val="9"/>
            <color indexed="81"/>
            <rFont val="Tahoma"/>
            <charset val="1"/>
          </rPr>
          <t>Wendepunkt OWA</t>
        </r>
      </text>
    </comment>
    <comment ref="A39" authorId="1">
      <text>
        <r>
          <rPr>
            <sz val="9"/>
            <color indexed="81"/>
            <rFont val="Tahoma"/>
            <charset val="1"/>
          </rPr>
          <t>Weilbach, Amorbach, Weilbach (B496/B47)</t>
        </r>
      </text>
    </comment>
    <comment ref="A40" authorId="0">
      <text>
        <r>
          <rPr>
            <sz val="9"/>
            <color indexed="81"/>
            <rFont val="Tahoma"/>
            <charset val="1"/>
          </rPr>
          <t>Radweg Weilbach, Weckbach (Ortsschild)</t>
        </r>
      </text>
    </comment>
    <comment ref="A41" authorId="1">
      <text>
        <r>
          <rPr>
            <sz val="9"/>
            <color indexed="81"/>
            <rFont val="Tahoma"/>
            <charset val="1"/>
          </rPr>
          <t xml:space="preserve">Lasallestraße, Altstadtweg, Brücke, Industriestraße, Mainuferweg, Fährweg, Josef-Wirth-Straße, Bahngelände, Supermarkt, Schrebergärten, Im Bruch
</t>
        </r>
        <r>
          <rPr>
            <sz val="8"/>
            <color indexed="81"/>
            <rFont val="Tahoma"/>
            <family val="2"/>
          </rPr>
          <t>Nur Sonn- und Feiertags bei Regen</t>
        </r>
      </text>
    </comment>
  </commentList>
</comments>
</file>

<file path=xl/comments20.xml><?xml version="1.0" encoding="utf-8"?>
<comments xmlns="http://schemas.openxmlformats.org/spreadsheetml/2006/main">
  <authors>
    <author>fan</author>
  </authors>
  <commentList>
    <comment ref="V1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Rekord</t>
        </r>
      </text>
    </comment>
    <comment ref="V8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England</t>
        </r>
      </text>
    </comment>
    <comment ref="AT9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</t>
        </r>
      </text>
    </comment>
    <comment ref="AH18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England</t>
        </r>
      </text>
    </comment>
    <comment ref="J20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Schwäbische Alb</t>
        </r>
      </text>
    </comment>
    <comment ref="AT26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16 °C</t>
        </r>
      </text>
    </comment>
    <comment ref="AP27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15 °C, Kurz</t>
        </r>
      </text>
    </comment>
    <comment ref="M42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1.xml><?xml version="1.0" encoding="utf-8"?>
<comments xmlns="http://schemas.openxmlformats.org/spreadsheetml/2006/main">
  <authors>
    <author>fan</author>
  </authors>
  <commentList>
    <comment ref="V1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Qualität</t>
        </r>
      </text>
    </comment>
    <comment ref="AB6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Aix-en-Provence - Montpellier</t>
        </r>
      </text>
    </comment>
    <comment ref="J8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Schnee/Matsch im Wald</t>
        </r>
      </text>
    </comment>
    <comment ref="N8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München</t>
        </r>
      </text>
    </comment>
    <comment ref="AN8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Lombardei-Rundfahrt</t>
        </r>
      </text>
    </comment>
    <comment ref="AT10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8 °C</t>
        </r>
      </text>
    </comment>
    <comment ref="N11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Aprilwetter</t>
        </r>
      </text>
    </comment>
    <comment ref="J13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Schneeschauer</t>
        </r>
      </text>
    </comment>
    <comment ref="B14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Teneriffa</t>
        </r>
      </text>
    </comment>
    <comment ref="AT15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Serfaus</t>
        </r>
      </text>
    </comment>
    <comment ref="F25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</t>
        </r>
      </text>
    </comment>
    <comment ref="AP27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Schneeschauer</t>
        </r>
      </text>
    </comment>
    <comment ref="AL28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22 °C</t>
        </r>
      </text>
    </comment>
    <comment ref="AJ31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Berlin-Marathon</t>
        </r>
      </text>
    </comment>
    <comment ref="B33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Damüls</t>
        </r>
      </text>
    </comment>
    <comment ref="M42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2.xml><?xml version="1.0" encoding="utf-8"?>
<comments xmlns="http://schemas.openxmlformats.org/spreadsheetml/2006/main">
  <authors>
    <author>fan</author>
  </authors>
  <commentList>
    <comment ref="V1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Homo Cyclensis</t>
        </r>
      </text>
    </comment>
    <comment ref="D4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Squash-Ersatz</t>
        </r>
      </text>
    </comment>
    <comment ref="D11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15°C Erste kurze Hose</t>
        </r>
      </text>
    </comment>
    <comment ref="H11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Erste Rennrad-Fahrt</t>
        </r>
      </text>
    </comment>
    <comment ref="L11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Nachmittags 17°C kurz-kurz</t>
        </r>
      </text>
    </comment>
    <comment ref="P14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Hahnenkamm</t>
        </r>
      </text>
    </comment>
    <comment ref="AB14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Tomblaine &gt; Gérardmer La Mauselaine</t>
        </r>
      </text>
    </comment>
    <comment ref="AN14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Paris - Tours</t>
        </r>
      </text>
    </comment>
    <comment ref="AB15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Gérardmer &gt; Mulhouse</t>
        </r>
      </text>
    </comment>
    <comment ref="X16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München</t>
        </r>
      </text>
    </comment>
    <comment ref="AN20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 1</t>
        </r>
      </text>
    </comment>
    <comment ref="L22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Ski Montafon</t>
        </r>
      </text>
    </comment>
    <comment ref="P22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Amstel Gold Race</t>
        </r>
      </text>
    </comment>
    <comment ref="X24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Schweden</t>
        </r>
      </text>
    </comment>
    <comment ref="H28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Sommerreifen</t>
        </r>
      </text>
    </comment>
    <comment ref="P29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Sportabzeichen</t>
        </r>
      </text>
    </comment>
    <comment ref="AV29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</t>
        </r>
      </text>
    </comment>
    <comment ref="AJ30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England</t>
        </r>
      </text>
    </comment>
    <comment ref="AB31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Doc</t>
        </r>
      </text>
    </comment>
    <comment ref="M42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3.xml><?xml version="1.0" encoding="utf-8"?>
<comments xmlns="http://schemas.openxmlformats.org/spreadsheetml/2006/main">
  <authors>
    <author>fan</author>
  </authors>
  <commentList>
    <comment ref="V1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Stressless</t>
        </r>
      </text>
    </comment>
    <comment ref="L4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Erste RR-Fahrt</t>
        </r>
      </text>
    </comment>
    <comment ref="AV5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5 h Eishalle</t>
        </r>
      </text>
    </comment>
    <comment ref="AB6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 km schwimmen
25 °C Wasser
Freudenberger Badesee</t>
        </r>
      </text>
    </comment>
    <comment ref="L7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Kappl</t>
        </r>
      </text>
    </comment>
    <comment ref="AB7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40,3 °C in Kitzingen</t>
        </r>
      </text>
    </comment>
    <comment ref="AR8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18 °C, bedeckt</t>
        </r>
      </text>
    </comment>
    <comment ref="D12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14 °C, Knielinge</t>
        </r>
      </text>
    </comment>
    <comment ref="AN13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Auf Herkules Teneriffa
Kakteen Winteraktion
Paris-Tours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Teneriffa bis 23.</t>
        </r>
      </text>
    </comment>
    <comment ref="L15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Sommerreifen</t>
        </r>
      </text>
    </comment>
    <comment ref="AN15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Auf Winora</t>
        </r>
      </text>
    </comment>
    <comment ref="AF18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Anger bis 23.</t>
        </r>
      </text>
    </comment>
    <comment ref="H21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MTB-Abholung</t>
        </r>
      </text>
    </comment>
    <comment ref="AB21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Hinterradplatten</t>
        </r>
      </text>
    </comment>
    <comment ref="AR24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Erster Schnee</t>
        </r>
      </text>
    </comment>
    <comment ref="AV28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Letzte RR-Fahrt,
kurze Hose</t>
        </r>
      </text>
    </comment>
    <comment ref="M42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4.xml><?xml version="1.0" encoding="utf-8"?>
<comments xmlns="http://schemas.openxmlformats.org/spreadsheetml/2006/main">
  <authors>
    <author>fan</author>
  </authors>
  <commentList>
    <comment ref="V1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X-Fit</t>
        </r>
      </text>
    </comment>
    <comment ref="D3" authorId="0">
      <text>
        <r>
          <rPr>
            <sz val="9"/>
            <color indexed="81"/>
            <rFont val="Tahoma"/>
            <charset val="1"/>
          </rPr>
          <t>21,1 km Lauf</t>
        </r>
      </text>
    </comment>
    <comment ref="H4" authorId="0">
      <text>
        <r>
          <rPr>
            <sz val="9"/>
            <color indexed="81"/>
            <rFont val="Tahoma"/>
            <charset val="1"/>
          </rPr>
          <t>Erste RR-Fahrt, ¾ Hose, 12 °C</t>
        </r>
      </text>
    </comment>
    <comment ref="H5" authorId="0">
      <text>
        <r>
          <rPr>
            <sz val="9"/>
            <color indexed="81"/>
            <rFont val="Tahoma"/>
            <charset val="1"/>
          </rPr>
          <t>19,1 km Lauf</t>
        </r>
      </text>
    </comment>
    <comment ref="T7" authorId="0">
      <text>
        <r>
          <rPr>
            <sz val="9"/>
            <color indexed="81"/>
            <rFont val="Tahoma"/>
            <charset val="1"/>
          </rPr>
          <t>14,2 km Lauf</t>
        </r>
      </text>
    </comment>
    <comment ref="L9" authorId="0">
      <text>
        <r>
          <rPr>
            <sz val="9"/>
            <color indexed="81"/>
            <rFont val="Tahoma"/>
            <charset val="1"/>
          </rPr>
          <t>Sommerreifen</t>
        </r>
      </text>
    </comment>
    <comment ref="L11" authorId="0">
      <text>
        <r>
          <rPr>
            <sz val="9"/>
            <color indexed="81"/>
            <rFont val="Tahoma"/>
            <charset val="1"/>
          </rPr>
          <t>Gaschurn bis 12.</t>
        </r>
      </text>
    </comment>
    <comment ref="P11" authorId="0">
      <text>
        <r>
          <rPr>
            <sz val="9"/>
            <color indexed="81"/>
            <rFont val="Tahoma"/>
            <charset val="1"/>
          </rPr>
          <t>19,1 km Lauf</t>
        </r>
      </text>
    </comment>
    <comment ref="AB11" authorId="0">
      <text>
        <r>
          <rPr>
            <sz val="9"/>
            <color indexed="81"/>
            <rFont val="Tahoma"/>
            <charset val="1"/>
          </rPr>
          <t>Zillertal bis 16.09.</t>
        </r>
      </text>
    </comment>
    <comment ref="T17" authorId="0">
      <text>
        <r>
          <rPr>
            <sz val="9"/>
            <color indexed="81"/>
            <rFont val="Tahoma"/>
            <charset val="1"/>
          </rPr>
          <t>19,1 km Lauf</t>
        </r>
      </text>
    </comment>
    <comment ref="P18" authorId="0">
      <text>
        <r>
          <rPr>
            <sz val="9"/>
            <color indexed="81"/>
            <rFont val="Tahoma"/>
            <charset val="1"/>
          </rPr>
          <t>19,1 km Lauf</t>
        </r>
      </text>
    </comment>
    <comment ref="D19" authorId="0">
      <text>
        <r>
          <rPr>
            <sz val="9"/>
            <color indexed="81"/>
            <rFont val="Tahoma"/>
            <charset val="1"/>
          </rPr>
          <t>Spikes</t>
        </r>
      </text>
    </comment>
    <comment ref="AF20" authorId="0">
      <text>
        <r>
          <rPr>
            <sz val="9"/>
            <color indexed="81"/>
            <rFont val="Tahoma"/>
            <charset val="1"/>
          </rPr>
          <t>Abholung LP Cross 200</t>
        </r>
      </text>
    </comment>
    <comment ref="AJ20" authorId="0">
      <text>
        <r>
          <rPr>
            <sz val="9"/>
            <color indexed="81"/>
            <rFont val="Tahoma"/>
            <charset val="1"/>
          </rPr>
          <t>19,4 km Lauf</t>
        </r>
      </text>
    </comment>
    <comment ref="X21" authorId="0">
      <text>
        <r>
          <rPr>
            <sz val="9"/>
            <color indexed="81"/>
            <rFont val="Tahoma"/>
            <charset val="1"/>
          </rPr>
          <t>Stuttgart-HM</t>
        </r>
      </text>
    </comment>
    <comment ref="H23" authorId="0">
      <text>
        <r>
          <rPr>
            <sz val="9"/>
            <color indexed="81"/>
            <rFont val="Tahoma"/>
            <charset val="1"/>
          </rPr>
          <t>20,1 km Lauf</t>
        </r>
      </text>
    </comment>
    <comment ref="D25" authorId="0">
      <text>
        <r>
          <rPr>
            <sz val="9"/>
            <color indexed="81"/>
            <rFont val="Tahoma"/>
            <charset val="1"/>
          </rPr>
          <t>Châtel bis 30.</t>
        </r>
      </text>
    </comment>
    <comment ref="L27" authorId="0">
      <text>
        <r>
          <rPr>
            <sz val="9"/>
            <color indexed="81"/>
            <rFont val="Tahoma"/>
            <charset val="1"/>
          </rPr>
          <t>19,1 km Lauf</t>
        </r>
      </text>
    </comment>
    <comment ref="M42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5.xml><?xml version="1.0" encoding="utf-8"?>
<comments xmlns="http://schemas.openxmlformats.org/spreadsheetml/2006/main">
  <authors>
    <author>fan</author>
    <author>HP</author>
  </authors>
  <commentList>
    <comment ref="V1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Alpen</t>
        </r>
      </text>
    </comment>
    <comment ref="AR3" authorId="1">
      <text>
        <r>
          <rPr>
            <sz val="9"/>
            <color indexed="81"/>
            <rFont val="Tahoma"/>
            <charset val="1"/>
          </rPr>
          <t>21,1 km Lauf</t>
        </r>
      </text>
    </comment>
    <comment ref="D4" authorId="0">
      <text>
        <r>
          <rPr>
            <sz val="9"/>
            <color indexed="81"/>
            <rFont val="Tahoma"/>
            <charset val="1"/>
          </rPr>
          <t>Schneetag</t>
        </r>
      </text>
    </comment>
    <comment ref="X4" authorId="1">
      <text>
        <r>
          <rPr>
            <sz val="9"/>
            <color indexed="81"/>
            <rFont val="Tahoma"/>
            <charset val="1"/>
          </rPr>
          <t>Probefahrt Shaper 2017</t>
        </r>
      </text>
    </comment>
    <comment ref="AV4" authorId="1">
      <text>
        <r>
          <rPr>
            <sz val="9"/>
            <color indexed="81"/>
            <rFont val="Tahoma"/>
            <family val="2"/>
          </rPr>
          <t>Spikes</t>
        </r>
      </text>
    </comment>
    <comment ref="AV5" authorId="1">
      <text>
        <r>
          <rPr>
            <sz val="9"/>
            <color indexed="81"/>
            <rFont val="Tahoma"/>
            <charset val="1"/>
          </rPr>
          <t>475 Hm Trailrun
Schneetag</t>
        </r>
      </text>
    </comment>
    <comment ref="L6" authorId="0">
      <text>
        <r>
          <rPr>
            <sz val="9"/>
            <color indexed="81"/>
            <rFont val="Tahoma"/>
            <charset val="1"/>
          </rPr>
          <t>19,1 km Lauf</t>
        </r>
      </text>
    </comment>
    <comment ref="T8" authorId="1">
      <text>
        <r>
          <rPr>
            <sz val="9"/>
            <color indexed="81"/>
            <rFont val="Tahoma"/>
            <charset val="1"/>
          </rPr>
          <t>2. RR-Fahrt, Lang-Kurz</t>
        </r>
      </text>
    </comment>
    <comment ref="AR8" authorId="1">
      <text>
        <r>
          <rPr>
            <sz val="9"/>
            <color indexed="81"/>
            <rFont val="Tahoma"/>
            <charset val="1"/>
          </rPr>
          <t>1. Panne: FB Schaltauge gerissen
2. Panne: MTB Vorderreifen platt</t>
        </r>
      </text>
    </comment>
    <comment ref="D9" authorId="0">
      <text>
        <r>
          <rPr>
            <sz val="9"/>
            <color indexed="81"/>
            <rFont val="Tahoma"/>
            <charset val="1"/>
          </rPr>
          <t>Châtel bis 14.</t>
        </r>
      </text>
    </comment>
    <comment ref="X13" authorId="1">
      <text>
        <r>
          <rPr>
            <sz val="9"/>
            <color indexed="81"/>
            <rFont val="Tahoma"/>
            <family val="2"/>
          </rPr>
          <t>4. RR-Fahrt</t>
        </r>
      </text>
    </comment>
    <comment ref="AV13" authorId="1">
      <text>
        <r>
          <rPr>
            <sz val="9"/>
            <color indexed="81"/>
            <rFont val="Tahoma"/>
            <family val="2"/>
          </rPr>
          <t>425 Hm Trailrun</t>
        </r>
      </text>
    </comment>
    <comment ref="L14" authorId="0">
      <text>
        <r>
          <rPr>
            <sz val="9"/>
            <color indexed="81"/>
            <rFont val="Tahoma"/>
            <charset val="1"/>
          </rPr>
          <t>Erste RR-Fahrt, Lang-Kurz 12 °C, Planet</t>
        </r>
      </text>
    </comment>
    <comment ref="AF14" authorId="1">
      <text>
        <r>
          <rPr>
            <sz val="9"/>
            <color indexed="81"/>
            <rFont val="Tahoma"/>
            <charset val="1"/>
          </rPr>
          <t>900 Hm Lauf</t>
        </r>
      </text>
    </comment>
    <comment ref="AR14" authorId="1">
      <text>
        <r>
          <rPr>
            <sz val="9"/>
            <color indexed="81"/>
            <rFont val="Tahoma"/>
            <charset val="1"/>
          </rPr>
          <t>310 Hm Trailrun
Rad mit Schneefall</t>
        </r>
      </text>
    </comment>
    <comment ref="T16" authorId="1">
      <text>
        <r>
          <rPr>
            <sz val="9"/>
            <color indexed="81"/>
            <rFont val="Tahoma"/>
            <charset val="1"/>
          </rPr>
          <t>Sportabzeichen</t>
        </r>
      </text>
    </comment>
    <comment ref="D17" authorId="0">
      <text>
        <r>
          <rPr>
            <sz val="9"/>
            <color indexed="81"/>
            <rFont val="Tahoma"/>
            <family val="2"/>
          </rPr>
          <t>Eis start</t>
        </r>
      </text>
    </comment>
    <comment ref="AB18" authorId="1">
      <text>
        <r>
          <rPr>
            <sz val="9"/>
            <color indexed="81"/>
            <rFont val="Tahoma"/>
            <family val="2"/>
          </rPr>
          <t>5. RR-Fahrt</t>
        </r>
      </text>
    </comment>
    <comment ref="AJ19" authorId="1">
      <text>
        <r>
          <rPr>
            <sz val="9"/>
            <color indexed="81"/>
            <rFont val="Tahoma"/>
            <charset val="1"/>
          </rPr>
          <t>340 Hm Trail-Running</t>
        </r>
      </text>
    </comment>
    <comment ref="X20" authorId="1">
      <text>
        <r>
          <rPr>
            <sz val="9"/>
            <color indexed="81"/>
            <rFont val="Tahoma"/>
            <charset val="1"/>
          </rPr>
          <t>Allgäu bis 25.06.</t>
        </r>
      </text>
    </comment>
    <comment ref="AV20" authorId="1">
      <text>
        <r>
          <rPr>
            <sz val="9"/>
            <color indexed="81"/>
            <rFont val="Tahoma"/>
            <family val="2"/>
          </rPr>
          <t>450 Hm Trailrun</t>
        </r>
      </text>
    </comment>
    <comment ref="T23" authorId="1">
      <text>
        <r>
          <rPr>
            <sz val="9"/>
            <color indexed="81"/>
            <rFont val="Tahoma"/>
            <family val="2"/>
          </rPr>
          <t>3. RR-Fahrt, Sportabzeichen</t>
        </r>
      </text>
    </comment>
    <comment ref="AN24" authorId="1">
      <text>
        <r>
          <rPr>
            <sz val="9"/>
            <color indexed="81"/>
            <rFont val="Tahoma"/>
            <charset val="1"/>
          </rPr>
          <t>470 Hm Trailrunning</t>
        </r>
      </text>
    </comment>
    <comment ref="AR25" authorId="1">
      <text>
        <r>
          <rPr>
            <sz val="9"/>
            <color indexed="81"/>
            <rFont val="Tahoma"/>
            <charset val="1"/>
          </rPr>
          <t>15 °C kurze Hose</t>
        </r>
      </text>
    </comment>
    <comment ref="AJ26" authorId="1">
      <text>
        <r>
          <rPr>
            <sz val="9"/>
            <color indexed="81"/>
            <rFont val="Tahoma"/>
            <charset val="1"/>
          </rPr>
          <t>8. RR-Fahrt</t>
        </r>
      </text>
    </comment>
    <comment ref="X27" authorId="1">
      <text>
        <r>
          <rPr>
            <sz val="9"/>
            <color indexed="81"/>
            <rFont val="Tahoma"/>
            <charset val="1"/>
          </rPr>
          <t>Ötztal bis 02.07.</t>
        </r>
      </text>
    </comment>
    <comment ref="AR28" authorId="1">
      <text>
        <r>
          <rPr>
            <sz val="9"/>
            <color indexed="81"/>
            <rFont val="Tahoma"/>
            <charset val="1"/>
          </rPr>
          <t>435 Hm Trailrun
9. RR-Fahrt</t>
        </r>
      </text>
    </comment>
    <comment ref="H29" authorId="0">
      <text>
        <r>
          <rPr>
            <sz val="9"/>
            <color indexed="81"/>
            <rFont val="Tahoma"/>
            <charset val="1"/>
          </rPr>
          <t>15 °C kurze Hose</t>
        </r>
      </text>
    </comment>
    <comment ref="AF29" authorId="1">
      <text>
        <r>
          <rPr>
            <sz val="9"/>
            <color indexed="81"/>
            <rFont val="Tahoma"/>
            <charset val="1"/>
          </rPr>
          <t>7. RR-Fahrt
Hell erst 7:00 Uhr --&gt; 21. März</t>
        </r>
      </text>
    </comment>
    <comment ref="D32" authorId="0">
      <text>
        <r>
          <rPr>
            <sz val="9"/>
            <color indexed="81"/>
            <rFont val="Tahoma"/>
            <charset val="1"/>
          </rPr>
          <t>Eis ende</t>
        </r>
      </text>
    </comment>
    <comment ref="AB32" authorId="1">
      <text>
        <r>
          <rPr>
            <sz val="9"/>
            <color indexed="81"/>
            <rFont val="Tahoma"/>
            <charset val="1"/>
          </rPr>
          <t>6. RR-Fahrt</t>
        </r>
      </text>
    </comment>
    <comment ref="AV33" authorId="1">
      <text>
        <r>
          <rPr>
            <sz val="9"/>
            <color indexed="81"/>
            <rFont val="Tahoma"/>
            <family val="2"/>
          </rPr>
          <t>590 Hm Trailrun</t>
        </r>
      </text>
    </comment>
    <comment ref="M42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6.xml><?xml version="1.0" encoding="utf-8"?>
<comments xmlns="http://schemas.openxmlformats.org/spreadsheetml/2006/main">
  <authors>
    <author>HP</author>
    <author>fan</author>
  </authors>
  <commentList>
    <comment ref="V1" authorId="0">
      <text>
        <r>
          <rPr>
            <sz val="9"/>
            <color indexed="81"/>
            <rFont val="Tahoma"/>
            <family val="2"/>
          </rPr>
          <t>Yoga</t>
        </r>
      </text>
    </comment>
    <comment ref="D3" authorId="0">
      <text>
        <r>
          <rPr>
            <sz val="9"/>
            <color indexed="81"/>
            <rFont val="Tahoma"/>
            <family val="2"/>
          </rPr>
          <t>640 Hm Trailrun</t>
        </r>
      </text>
    </comment>
    <comment ref="X4" authorId="0">
      <text>
        <r>
          <rPr>
            <sz val="9"/>
            <color indexed="81"/>
            <rFont val="Tahoma"/>
            <family val="2"/>
          </rPr>
          <t>514 Hm Trailrun</t>
        </r>
      </text>
    </comment>
    <comment ref="AV4" authorId="0">
      <text>
        <r>
          <rPr>
            <sz val="9"/>
            <color indexed="81"/>
            <rFont val="Tahoma"/>
            <family val="2"/>
          </rPr>
          <t>280 Hm Trailrun</t>
        </r>
      </text>
    </comment>
    <comment ref="H5" authorId="0">
      <text>
        <r>
          <rPr>
            <sz val="9"/>
            <color indexed="81"/>
            <rFont val="Tahoma"/>
            <family val="2"/>
          </rPr>
          <t>470 Hm Trailrun</t>
        </r>
      </text>
    </comment>
    <comment ref="L5" authorId="0">
      <text>
        <r>
          <rPr>
            <sz val="9"/>
            <color indexed="81"/>
            <rFont val="Tahoma"/>
            <family val="2"/>
          </rPr>
          <t>Therme</t>
        </r>
      </text>
    </comment>
    <comment ref="P5" authorId="0">
      <text>
        <r>
          <rPr>
            <sz val="9"/>
            <color indexed="81"/>
            <rFont val="Tahoma"/>
            <family val="2"/>
          </rPr>
          <t>Sommerreifen</t>
        </r>
      </text>
    </comment>
    <comment ref="X5" authorId="0">
      <text>
        <r>
          <rPr>
            <sz val="9"/>
            <color indexed="81"/>
            <rFont val="Tahoma"/>
            <family val="2"/>
          </rPr>
          <t>417 Hm Trailrun</t>
        </r>
      </text>
    </comment>
    <comment ref="AN5" authorId="0">
      <text>
        <r>
          <rPr>
            <sz val="9"/>
            <color indexed="81"/>
            <rFont val="Tahoma"/>
            <family val="2"/>
          </rPr>
          <t>347 Hm Trailrun</t>
        </r>
      </text>
    </comment>
    <comment ref="H6" authorId="0">
      <text>
        <r>
          <rPr>
            <sz val="9"/>
            <color indexed="81"/>
            <rFont val="Tahoma"/>
            <family val="2"/>
          </rPr>
          <t>440 Hm Trailrun</t>
        </r>
      </text>
    </comment>
    <comment ref="L6" authorId="0">
      <text>
        <r>
          <rPr>
            <sz val="9"/>
            <color indexed="81"/>
            <rFont val="Tahoma"/>
            <family val="2"/>
          </rPr>
          <t>310 Hm Trailrun</t>
        </r>
      </text>
    </comment>
    <comment ref="AF6" authorId="0">
      <text>
        <r>
          <rPr>
            <sz val="9"/>
            <color indexed="81"/>
            <rFont val="Tahoma"/>
            <family val="2"/>
          </rPr>
          <t>9. RR-Fahrt</t>
        </r>
      </text>
    </comment>
    <comment ref="AR6" authorId="0">
      <text>
        <r>
          <rPr>
            <sz val="9"/>
            <color indexed="81"/>
            <rFont val="Tahoma"/>
            <family val="2"/>
          </rPr>
          <t>284 Hm Trailrun</t>
        </r>
      </text>
    </comment>
    <comment ref="D8" authorId="0">
      <text>
        <r>
          <rPr>
            <sz val="9"/>
            <color indexed="81"/>
            <rFont val="Tahoma"/>
            <family val="2"/>
          </rPr>
          <t>490 Hm Trailrun</t>
        </r>
      </text>
    </comment>
    <comment ref="T8" authorId="0">
      <text>
        <r>
          <rPr>
            <sz val="9"/>
            <color indexed="81"/>
            <rFont val="Tahoma"/>
            <family val="2"/>
          </rPr>
          <t>Sportabzeichen</t>
        </r>
      </text>
    </comment>
    <comment ref="AN9" authorId="0">
      <text>
        <r>
          <rPr>
            <sz val="9"/>
            <color indexed="81"/>
            <rFont val="Tahoma"/>
            <family val="2"/>
          </rPr>
          <t>524 Hm Trailrun</t>
        </r>
      </text>
    </comment>
    <comment ref="P10" authorId="0">
      <text>
        <r>
          <rPr>
            <sz val="9"/>
            <color indexed="81"/>
            <rFont val="Tahoma"/>
            <family val="2"/>
          </rPr>
          <t>2. RR-Fahrt
430 Hm Trailrun</t>
        </r>
      </text>
    </comment>
    <comment ref="AB10" authorId="0">
      <text>
        <r>
          <rPr>
            <sz val="9"/>
            <color indexed="81"/>
            <rFont val="Tahoma"/>
            <family val="2"/>
          </rPr>
          <t>6. RR-Fahrt</t>
        </r>
      </text>
    </comment>
    <comment ref="AJ11" authorId="0">
      <text>
        <r>
          <rPr>
            <sz val="9"/>
            <color indexed="81"/>
            <rFont val="Tahoma"/>
            <family val="2"/>
          </rPr>
          <t>650 Hm Trailrun</t>
        </r>
      </text>
    </comment>
    <comment ref="L12" authorId="0">
      <text>
        <r>
          <rPr>
            <sz val="9"/>
            <color indexed="81"/>
            <rFont val="Tahoma"/>
            <family val="2"/>
          </rPr>
          <t>495 Hm Trailrun</t>
        </r>
      </text>
    </comment>
    <comment ref="T12" authorId="0">
      <text>
        <r>
          <rPr>
            <sz val="9"/>
            <color indexed="81"/>
            <rFont val="Tahoma"/>
            <family val="2"/>
          </rPr>
          <t>3. RR-Fahrt</t>
        </r>
      </text>
    </comment>
    <comment ref="X12" authorId="0">
      <text>
        <r>
          <rPr>
            <sz val="9"/>
            <color indexed="81"/>
            <rFont val="Tahoma"/>
            <family val="2"/>
          </rPr>
          <t>Mayrhofen bis 17.</t>
        </r>
      </text>
    </comment>
    <comment ref="L13" authorId="0">
      <text>
        <r>
          <rPr>
            <sz val="9"/>
            <color indexed="81"/>
            <rFont val="Tahoma"/>
            <family val="2"/>
          </rPr>
          <t>1. RR-Fahrt</t>
        </r>
      </text>
    </comment>
    <comment ref="X13" authorId="0">
      <text>
        <r>
          <rPr>
            <sz val="9"/>
            <color indexed="81"/>
            <rFont val="Tahoma"/>
            <family val="2"/>
          </rPr>
          <t>835 Hm Trailrun</t>
        </r>
      </text>
    </comment>
    <comment ref="AF13" authorId="0">
      <text>
        <r>
          <rPr>
            <sz val="9"/>
            <color indexed="81"/>
            <rFont val="Tahoma"/>
            <family val="2"/>
          </rPr>
          <t>3,86 km swim</t>
        </r>
      </text>
    </comment>
    <comment ref="AR13" authorId="0">
      <text>
        <r>
          <rPr>
            <sz val="9"/>
            <color indexed="81"/>
            <rFont val="Tahoma"/>
            <family val="2"/>
          </rPr>
          <t>416 Hm Trailrun</t>
        </r>
      </text>
    </comment>
    <comment ref="T14" authorId="0">
      <text>
        <r>
          <rPr>
            <sz val="9"/>
            <color indexed="81"/>
            <rFont val="Tahoma"/>
            <family val="2"/>
          </rPr>
          <t>462 Hm Trailrun</t>
        </r>
      </text>
    </comment>
    <comment ref="X14" authorId="0">
      <text>
        <r>
          <rPr>
            <sz val="9"/>
            <color indexed="81"/>
            <rFont val="Tahoma"/>
            <family val="2"/>
          </rPr>
          <t>600 Hm Trailrun</t>
        </r>
      </text>
    </comment>
    <comment ref="X15" authorId="0">
      <text>
        <r>
          <rPr>
            <sz val="9"/>
            <color indexed="81"/>
            <rFont val="Tahoma"/>
            <family val="2"/>
          </rPr>
          <t>255 Hm Trailrun</t>
        </r>
      </text>
    </comment>
    <comment ref="AN15" authorId="0">
      <text>
        <r>
          <rPr>
            <sz val="9"/>
            <color indexed="81"/>
            <rFont val="Tahoma"/>
            <family val="2"/>
          </rPr>
          <t>11. RR-Fahrt</t>
        </r>
      </text>
    </comment>
    <comment ref="AB16" authorId="0">
      <text>
        <r>
          <rPr>
            <sz val="9"/>
            <color indexed="81"/>
            <rFont val="Tahoma"/>
            <family val="2"/>
          </rPr>
          <t>652 Hm Trailrun</t>
        </r>
      </text>
    </comment>
    <comment ref="AN16" authorId="0">
      <text>
        <r>
          <rPr>
            <sz val="9"/>
            <color indexed="81"/>
            <rFont val="Tahoma"/>
            <family val="2"/>
          </rPr>
          <t>433 Hm Trailrun</t>
        </r>
      </text>
    </comment>
    <comment ref="AR16" authorId="0">
      <text>
        <r>
          <rPr>
            <sz val="9"/>
            <color indexed="81"/>
            <rFont val="Tahoma"/>
            <family val="2"/>
          </rPr>
          <t>140 Hm Trailrun</t>
        </r>
      </text>
    </comment>
    <comment ref="T18" authorId="0">
      <text>
        <r>
          <rPr>
            <sz val="9"/>
            <color indexed="81"/>
            <rFont val="Tahoma"/>
            <family val="2"/>
          </rPr>
          <t>280 Hm Trailrun</t>
        </r>
      </text>
    </comment>
    <comment ref="AJ18" authorId="0">
      <text>
        <r>
          <rPr>
            <sz val="9"/>
            <color indexed="81"/>
            <rFont val="Tahoma"/>
            <family val="2"/>
          </rPr>
          <t>10. RR-Fahrt</t>
        </r>
      </text>
    </comment>
    <comment ref="AV18" authorId="0">
      <text>
        <r>
          <rPr>
            <sz val="9"/>
            <color indexed="81"/>
            <rFont val="Tahoma"/>
            <family val="2"/>
          </rPr>
          <t>Schneetag</t>
        </r>
      </text>
    </comment>
    <comment ref="H19" authorId="0">
      <text>
        <r>
          <rPr>
            <sz val="9"/>
            <color indexed="81"/>
            <rFont val="Tahoma"/>
            <family val="2"/>
          </rPr>
          <t>525 Hm Trailrun</t>
        </r>
      </text>
    </comment>
    <comment ref="X19" authorId="0">
      <text>
        <r>
          <rPr>
            <sz val="9"/>
            <color indexed="81"/>
            <rFont val="Tahoma"/>
            <family val="2"/>
          </rPr>
          <t>Oberstdorf bis 24.</t>
        </r>
      </text>
    </comment>
    <comment ref="AR19" authorId="0">
      <text>
        <r>
          <rPr>
            <sz val="9"/>
            <color indexed="81"/>
            <rFont val="Tahoma"/>
            <family val="2"/>
          </rPr>
          <t>10 km Lauf</t>
        </r>
      </text>
    </comment>
    <comment ref="H20" authorId="0">
      <text>
        <r>
          <rPr>
            <sz val="9"/>
            <color indexed="81"/>
            <rFont val="Tahoma"/>
            <family val="2"/>
          </rPr>
          <t>310 Hm Trailrun</t>
        </r>
      </text>
    </comment>
    <comment ref="X20" authorId="0">
      <text>
        <r>
          <rPr>
            <sz val="9"/>
            <color indexed="81"/>
            <rFont val="Tahoma"/>
            <family val="2"/>
          </rPr>
          <t>860 Hm Trailrun</t>
        </r>
      </text>
    </comment>
    <comment ref="AR20" authorId="0">
      <text>
        <r>
          <rPr>
            <sz val="9"/>
            <color indexed="81"/>
            <rFont val="Tahoma"/>
            <family val="2"/>
          </rPr>
          <t>500 Hm Trailrun</t>
        </r>
      </text>
    </comment>
    <comment ref="X21" authorId="0">
      <text>
        <r>
          <rPr>
            <sz val="9"/>
            <color indexed="81"/>
            <rFont val="Tahoma"/>
            <family val="2"/>
          </rPr>
          <t>1000 Hm Trailrun</t>
        </r>
      </text>
    </comment>
    <comment ref="AF21" authorId="0">
      <text>
        <r>
          <rPr>
            <sz val="9"/>
            <color indexed="81"/>
            <rFont val="Tahoma"/>
            <family val="2"/>
          </rPr>
          <t>280 Hm Trailrun</t>
        </r>
      </text>
    </comment>
    <comment ref="T22" authorId="0">
      <text>
        <r>
          <rPr>
            <sz val="9"/>
            <color indexed="81"/>
            <rFont val="Tahoma"/>
            <family val="2"/>
          </rPr>
          <t>330 Hm Trailrun</t>
        </r>
      </text>
    </comment>
    <comment ref="AN22" authorId="0">
      <text>
        <r>
          <rPr>
            <sz val="9"/>
            <color indexed="81"/>
            <rFont val="Tahoma"/>
            <family val="2"/>
          </rPr>
          <t>130 Hm Trailrun</t>
        </r>
      </text>
    </comment>
    <comment ref="T23" authorId="0">
      <text>
        <r>
          <rPr>
            <sz val="9"/>
            <color indexed="81"/>
            <rFont val="Tahoma"/>
            <family val="2"/>
          </rPr>
          <t>4. RR-Fahrt</t>
        </r>
      </text>
    </comment>
    <comment ref="X23" authorId="0">
      <text>
        <r>
          <rPr>
            <sz val="9"/>
            <color indexed="81"/>
            <rFont val="Tahoma"/>
            <family val="2"/>
          </rPr>
          <t>1075 Hm Trailrun</t>
        </r>
      </text>
    </comment>
    <comment ref="AB23" authorId="0">
      <text>
        <r>
          <rPr>
            <sz val="9"/>
            <color indexed="81"/>
            <rFont val="Tahoma"/>
            <family val="2"/>
          </rPr>
          <t>7. RR-Fahrt</t>
        </r>
      </text>
    </comment>
    <comment ref="AN23" authorId="0">
      <text>
        <r>
          <rPr>
            <sz val="9"/>
            <color indexed="81"/>
            <rFont val="Tahoma"/>
            <family val="2"/>
          </rPr>
          <t>310 Hm Trailrun</t>
        </r>
      </text>
    </comment>
    <comment ref="AB24" authorId="0">
      <text>
        <r>
          <rPr>
            <sz val="9"/>
            <color indexed="81"/>
            <rFont val="Tahoma"/>
            <family val="2"/>
          </rPr>
          <t>416 Hm Trailrun</t>
        </r>
      </text>
    </comment>
    <comment ref="L26" authorId="0">
      <text>
        <r>
          <rPr>
            <sz val="9"/>
            <color indexed="81"/>
            <rFont val="Tahoma"/>
            <family val="2"/>
          </rPr>
          <t>Courchevel bis 31.</t>
        </r>
      </text>
    </comment>
    <comment ref="AR26" authorId="0">
      <text>
        <r>
          <rPr>
            <sz val="9"/>
            <color indexed="81"/>
            <rFont val="Tahoma"/>
            <family val="2"/>
          </rPr>
          <t>140 Hm Trailrun</t>
        </r>
      </text>
    </comment>
    <comment ref="AF27" authorId="0">
      <text>
        <r>
          <rPr>
            <sz val="9"/>
            <color indexed="81"/>
            <rFont val="Tahoma"/>
            <family val="2"/>
          </rPr>
          <t>357 Hm Trailrun</t>
        </r>
      </text>
    </comment>
    <comment ref="AR27" authorId="0">
      <text>
        <r>
          <rPr>
            <sz val="9"/>
            <color indexed="81"/>
            <rFont val="Tahoma"/>
            <family val="2"/>
          </rPr>
          <t>528 Hm Trailrun</t>
        </r>
      </text>
    </comment>
    <comment ref="T28" authorId="0">
      <text>
        <r>
          <rPr>
            <sz val="9"/>
            <color indexed="81"/>
            <rFont val="Tahoma"/>
            <family val="2"/>
          </rPr>
          <t>462 Hm Trailrun</t>
        </r>
      </text>
    </comment>
    <comment ref="AF28" authorId="0">
      <text>
        <r>
          <rPr>
            <sz val="9"/>
            <color indexed="81"/>
            <rFont val="Tahoma"/>
            <family val="2"/>
          </rPr>
          <t>19,1 km Lauf</t>
        </r>
      </text>
    </comment>
    <comment ref="AB29" authorId="0">
      <text>
        <r>
          <rPr>
            <sz val="9"/>
            <color indexed="81"/>
            <rFont val="Tahoma"/>
            <family val="2"/>
          </rPr>
          <t>335 Hm Trailrun</t>
        </r>
      </text>
    </comment>
    <comment ref="L30" authorId="0">
      <text>
        <r>
          <rPr>
            <sz val="9"/>
            <color indexed="81"/>
            <rFont val="Tahoma"/>
            <family val="2"/>
          </rPr>
          <t>600 Hm Schneeschuh</t>
        </r>
      </text>
    </comment>
    <comment ref="P30" authorId="0">
      <text>
        <r>
          <rPr>
            <sz val="9"/>
            <color indexed="81"/>
            <rFont val="Tahoma"/>
            <family val="2"/>
          </rPr>
          <t>Therme</t>
        </r>
      </text>
    </comment>
    <comment ref="AB30" authorId="0">
      <text>
        <r>
          <rPr>
            <sz val="9"/>
            <color indexed="81"/>
            <rFont val="Tahoma"/>
            <family val="2"/>
          </rPr>
          <t>8. RR-Fahrt</t>
        </r>
      </text>
    </comment>
    <comment ref="P31" authorId="0">
      <text>
        <r>
          <rPr>
            <sz val="9"/>
            <color indexed="81"/>
            <rFont val="Tahoma"/>
            <family val="2"/>
          </rPr>
          <t>515 Hm Trailrun</t>
        </r>
      </text>
    </comment>
    <comment ref="AF32" authorId="0">
      <text>
        <r>
          <rPr>
            <sz val="9"/>
            <color indexed="81"/>
            <rFont val="Tahoma"/>
            <family val="2"/>
          </rPr>
          <t>280 Hm Trailrun</t>
        </r>
      </text>
    </comment>
    <comment ref="AJ32" authorId="0">
      <text>
        <r>
          <rPr>
            <sz val="9"/>
            <color indexed="81"/>
            <rFont val="Tahoma"/>
            <family val="2"/>
          </rPr>
          <t>284 Hm Trailrun</t>
        </r>
      </text>
    </comment>
    <comment ref="L33" authorId="0">
      <text>
        <r>
          <rPr>
            <sz val="9"/>
            <color indexed="81"/>
            <rFont val="Tahoma"/>
            <family val="2"/>
          </rPr>
          <t>700 Hm Schneeschuh</t>
        </r>
      </text>
    </comment>
    <comment ref="T33" authorId="0">
      <text>
        <r>
          <rPr>
            <sz val="9"/>
            <color indexed="81"/>
            <rFont val="Tahoma"/>
            <family val="2"/>
          </rPr>
          <t>5. RR-Fahrt</t>
        </r>
      </text>
    </comment>
    <comment ref="AV33" authorId="0">
      <text>
        <r>
          <rPr>
            <sz val="9"/>
            <color indexed="81"/>
            <rFont val="Tahoma"/>
            <family val="2"/>
          </rPr>
          <t>7 km Lauf</t>
        </r>
      </text>
    </comment>
    <comment ref="M42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7.xml><?xml version="1.0" encoding="utf-8"?>
<comments xmlns="http://schemas.openxmlformats.org/spreadsheetml/2006/main">
  <authors>
    <author>fan</author>
    <author>HP</author>
  </authors>
  <commentList>
    <comment ref="U16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Barometrisch</t>
        </r>
      </text>
    </comment>
    <comment ref="U17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GPS</t>
        </r>
      </text>
    </comment>
    <comment ref="U21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Umweg</t>
        </r>
      </text>
    </comment>
    <comment ref="O22" authorId="0">
      <text>
        <r>
          <rPr>
            <sz val="9"/>
            <color indexed="81"/>
            <rFont val="Tahoma"/>
            <charset val="1"/>
          </rPr>
          <t>2015-04-05: Soll: 6:52 Ist: 7:10 (18 Min zu spät)</t>
        </r>
      </text>
    </comment>
    <comment ref="U22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Normalweg</t>
        </r>
      </text>
    </comment>
    <comment ref="K23" authorId="1">
      <text>
        <r>
          <rPr>
            <b/>
            <sz val="9"/>
            <color indexed="81"/>
            <rFont val="Tahoma"/>
            <charset val="1"/>
          </rPr>
          <t xml:space="preserve">8:19-16:33 (8:13)
</t>
        </r>
      </text>
    </comment>
    <comment ref="K24" authorId="1">
      <text>
        <r>
          <rPr>
            <b/>
            <sz val="9"/>
            <color indexed="81"/>
            <rFont val="Tahoma"/>
            <charset val="1"/>
          </rPr>
          <t>7:56-17:17 (9:21)</t>
        </r>
      </text>
    </comment>
    <comment ref="K25" authorId="1">
      <text>
        <r>
          <rPr>
            <b/>
            <sz val="9"/>
            <color indexed="81"/>
            <rFont val="Tahoma"/>
            <charset val="1"/>
          </rPr>
          <t>7:04-18:06 (11:01)</t>
        </r>
      </text>
    </comment>
    <comment ref="K26" authorId="1">
      <text>
        <r>
          <rPr>
            <b/>
            <sz val="9"/>
            <color indexed="81"/>
            <rFont val="Tahoma"/>
            <charset val="1"/>
          </rPr>
          <t>6:59-19:55 (12:56)</t>
        </r>
      </text>
    </comment>
    <comment ref="K27" authorId="1">
      <text>
        <r>
          <rPr>
            <b/>
            <sz val="9"/>
            <color indexed="81"/>
            <rFont val="Tahoma"/>
            <charset val="1"/>
          </rPr>
          <t>5:59-20:41 (14:42)</t>
        </r>
      </text>
    </comment>
    <comment ref="K28" authorId="1">
      <text>
        <r>
          <rPr>
            <b/>
            <sz val="9"/>
            <color indexed="81"/>
            <rFont val="Tahoma"/>
            <charset val="1"/>
          </rPr>
          <t>5:19-21:22 (16:03)</t>
        </r>
      </text>
    </comment>
    <comment ref="K29" authorId="1">
      <text>
        <r>
          <rPr>
            <b/>
            <sz val="9"/>
            <color indexed="81"/>
            <rFont val="Tahoma"/>
            <charset val="1"/>
          </rPr>
          <t>5:19-21:34 (16:15)</t>
        </r>
      </text>
    </comment>
    <comment ref="K30" authorId="1">
      <text>
        <r>
          <rPr>
            <b/>
            <sz val="9"/>
            <color indexed="81"/>
            <rFont val="Tahoma"/>
            <charset val="1"/>
          </rPr>
          <t>5:53-21:04 (15:10)</t>
        </r>
      </text>
    </comment>
    <comment ref="K31" authorId="1">
      <text>
        <r>
          <rPr>
            <b/>
            <sz val="9"/>
            <color indexed="81"/>
            <rFont val="Tahoma"/>
            <charset val="1"/>
          </rPr>
          <t>6:38-20:06 (13:27)</t>
        </r>
      </text>
    </comment>
    <comment ref="K32" authorId="1">
      <text>
        <r>
          <rPr>
            <b/>
            <sz val="9"/>
            <color indexed="81"/>
            <rFont val="Tahoma"/>
            <charset val="1"/>
          </rPr>
          <t>7:23-19:01 (11:38)</t>
        </r>
      </text>
    </comment>
    <comment ref="K33" authorId="1">
      <text>
        <r>
          <rPr>
            <b/>
            <sz val="9"/>
            <color indexed="81"/>
            <rFont val="Tahoma"/>
            <charset val="1"/>
          </rPr>
          <t>7:12-17:00 (9:48)</t>
        </r>
      </text>
    </comment>
    <comment ref="K34" authorId="1">
      <text>
        <r>
          <rPr>
            <b/>
            <sz val="9"/>
            <color indexed="81"/>
            <rFont val="Tahoma"/>
            <charset val="1"/>
          </rPr>
          <t>7:58-16:25 (8:27)</t>
        </r>
      </text>
    </comment>
    <comment ref="O34" authorId="0">
      <text>
        <r>
          <rPr>
            <sz val="9"/>
            <color indexed="81"/>
            <rFont val="Tahoma"/>
            <charset val="1"/>
          </rPr>
          <t>vor 21. frühester Abend: 16:22 (ca. 4-9 Tage vorher)</t>
        </r>
      </text>
    </comment>
    <comment ref="U35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Fehler km</t>
        </r>
      </text>
    </comment>
    <comment ref="U36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Auf km</t>
        </r>
      </text>
    </comment>
  </commentList>
</comments>
</file>

<file path=xl/comments28.xml><?xml version="1.0" encoding="utf-8"?>
<comments xmlns="http://schemas.openxmlformats.org/spreadsheetml/2006/main">
  <authors>
    <author>fan</author>
    <author>HP</author>
  </authors>
  <commentList>
    <comment ref="A8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2 * B469-Runde
1 * Apfelstraße</t>
        </r>
      </text>
    </comment>
    <comment ref="I8" authorId="0">
      <text>
        <r>
          <rPr>
            <sz val="9"/>
            <color indexed="81"/>
            <rFont val="Tahoma"/>
            <charset val="1"/>
          </rPr>
          <t>Kupsch-Kreuzung bis Mil 4 (Rü.Str.)</t>
        </r>
      </text>
    </comment>
    <comment ref="S8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"Ortsschildfrei"</t>
        </r>
      </text>
    </comment>
    <comment ref="E9" authorId="0">
      <text>
        <r>
          <rPr>
            <sz val="9"/>
            <color indexed="81"/>
            <rFont val="Tahoma"/>
            <family val="2"/>
          </rPr>
          <t>Von oben</t>
        </r>
      </text>
    </comment>
    <comment ref="S9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Spiel- bis Wendeplatz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Promilleweg, Weinlehrpfad, Unterer Steinmauerweg (170 max), Steinbruch &amp; retour</t>
        </r>
      </text>
    </comment>
    <comment ref="S10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Bis "Pass" Gotthardsruine</t>
        </r>
      </text>
    </comment>
    <comment ref="S11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500 m weiter den A1 entlang sanft ansteigend bis erstes Steilstück</t>
        </r>
      </text>
    </comment>
    <comment ref="E12" authorId="0">
      <text>
        <r>
          <rPr>
            <sz val="9"/>
            <color indexed="81"/>
            <rFont val="Tahoma"/>
            <charset val="1"/>
          </rPr>
          <t>Ab Kolping</t>
        </r>
      </text>
    </comment>
    <comment ref="E13" authorId="1">
      <text>
        <r>
          <rPr>
            <sz val="9"/>
            <color indexed="81"/>
            <rFont val="Tahoma"/>
            <family val="2"/>
          </rPr>
          <t>Großheubach Kreisel - R-Weg-Schranke (Einstieg: 7,3 km;20 Hm)
4 Sonnenrunden ganzjährig möglich
Kreisel - Steinbruch: 4,2 km 30 Hm</t>
        </r>
      </text>
    </comment>
    <comment ref="A14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Über Alter Friedhof, Wende</t>
        </r>
      </text>
    </comment>
    <comment ref="E15" authorId="0">
      <text>
        <r>
          <rPr>
            <sz val="9"/>
            <color indexed="81"/>
            <rFont val="Tahoma"/>
            <charset val="1"/>
          </rPr>
          <t>Kupsch-Apfelstr. &amp; Retour</t>
        </r>
      </text>
    </comment>
    <comment ref="I15" authorId="0">
      <text>
        <r>
          <rPr>
            <sz val="9"/>
            <color indexed="81"/>
            <rFont val="Tahoma"/>
            <charset val="1"/>
          </rPr>
          <t>Sonntag "Littel Sweden" (Kreisel-Auweg)
"Buschlän" 0,66;12</t>
        </r>
      </text>
    </comment>
    <comment ref="I16" authorId="0">
      <text>
        <r>
          <rPr>
            <sz val="9"/>
            <color indexed="81"/>
            <rFont val="Tahoma"/>
            <charset val="1"/>
          </rPr>
          <t>Kreuzung Lasalle/Laurentiusstraße bis Mil 4 (Rü.Str.)</t>
        </r>
      </text>
    </comment>
    <comment ref="A17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Weilbach, Gotthardsweg &amp; Retour</t>
        </r>
      </text>
    </comment>
    <comment ref="E17" authorId="0">
      <text>
        <r>
          <rPr>
            <sz val="9"/>
            <color indexed="81"/>
            <rFont val="Tahoma"/>
            <charset val="1"/>
          </rPr>
          <t>Statt Bonmarkt-Heim: ATÜ + Apfelstraße &amp; zurück bis Bonmarkt</t>
        </r>
      </text>
    </comment>
    <comment ref="I17" authorId="0">
      <text>
        <r>
          <rPr>
            <sz val="9"/>
            <color indexed="81"/>
            <rFont val="Tahoma"/>
            <charset val="1"/>
          </rPr>
          <t>Von unten</t>
        </r>
      </text>
    </comment>
    <comment ref="M17" authorId="0">
      <text>
        <r>
          <rPr>
            <sz val="9"/>
            <color indexed="81"/>
            <rFont val="Tahoma"/>
            <charset val="1"/>
          </rPr>
          <t>Statt direkt nach der Bahn links über Marktplatz heim</t>
        </r>
      </text>
    </comment>
    <comment ref="T17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265 max</t>
        </r>
      </text>
    </comment>
    <comment ref="A18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SH-Trail revers bis 2. Weg
"Runde" ab Parkplatz: 100 Hm</t>
        </r>
      </text>
    </comment>
    <comment ref="I18" authorId="1">
      <text>
        <r>
          <rPr>
            <sz val="9"/>
            <color indexed="81"/>
            <rFont val="Tahoma"/>
            <family val="2"/>
          </rPr>
          <t>Großheubach</t>
        </r>
      </text>
    </comment>
    <comment ref="M18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Auch Nord Sandweg mehr</t>
        </r>
      </text>
    </comment>
    <comment ref="Q18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Guter Teer bis Gänsberg</t>
        </r>
      </text>
    </comment>
    <comment ref="T18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340 max</t>
        </r>
      </text>
    </comment>
    <comment ref="A19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MR Großheubach zu viel Verkehr nach Angelhütte: Kreisel, Frankenring, Steigeweg bis Teer-Ende &amp; retour</t>
        </r>
      </text>
    </comment>
    <comment ref="Q19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Weg aus Osterntal</t>
        </r>
      </text>
    </comment>
    <comment ref="T19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370 max</t>
        </r>
      </text>
    </comment>
    <comment ref="A20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So grün wie möglich: Holzbrücke bis Löschwasserentnahme
Vernünftig: 13,5; 60</t>
        </r>
      </text>
    </comment>
    <comment ref="E20" authorId="1">
      <text>
        <r>
          <rPr>
            <sz val="9"/>
            <color indexed="81"/>
            <rFont val="Tahoma"/>
            <charset val="1"/>
          </rPr>
          <t>Runde oberhalb Saustallbrunnen</t>
        </r>
      </text>
    </comment>
    <comment ref="T20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440 max</t>
        </r>
      </text>
    </comment>
    <comment ref="E21" authorId="0">
      <text>
        <r>
          <rPr>
            <sz val="9"/>
            <color indexed="81"/>
            <rFont val="Tahoma"/>
            <charset val="1"/>
          </rPr>
          <t>via Haupt-, Luitpold-, Eichenbühlerstraße</t>
        </r>
      </text>
    </comment>
    <comment ref="T21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460 max</t>
        </r>
      </text>
    </comment>
    <comment ref="E22" authorId="1">
      <text>
        <r>
          <rPr>
            <sz val="9"/>
            <color indexed="81"/>
            <rFont val="Tahoma"/>
            <family val="2"/>
          </rPr>
          <t>Runde um den Weilbachkopf (oben 340 - 420 m)</t>
        </r>
      </text>
    </comment>
    <comment ref="A23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Bis Wendeplatz (245)</t>
        </r>
      </text>
    </comment>
    <comment ref="E23" authorId="0">
      <text>
        <r>
          <rPr>
            <sz val="9"/>
            <color indexed="81"/>
            <rFont val="Tahoma"/>
            <charset val="1"/>
          </rPr>
          <t>Jogging-Runde</t>
        </r>
      </text>
    </comment>
    <comment ref="Q24" authorId="1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216 max</t>
        </r>
      </text>
    </comment>
    <comment ref="A25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Ohne Breitendiel</t>
        </r>
      </text>
    </comment>
    <comment ref="E25" authorId="0">
      <text>
        <r>
          <rPr>
            <sz val="9"/>
            <color indexed="81"/>
            <rFont val="Tahoma"/>
            <charset val="1"/>
          </rPr>
          <t>Rüdenau Ortseingang &amp; zurück ab "Apfeleinstieg"</t>
        </r>
      </text>
    </comment>
    <comment ref="Q25" authorId="1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190 max</t>
        </r>
      </text>
    </comment>
    <comment ref="I26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Wiesenpfad-Lasalle</t>
        </r>
      </text>
    </comment>
    <comment ref="M26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Umweg Laudenbach statt MR über Wellig, Bettler + Heuneläulen heim</t>
        </r>
      </text>
    </comment>
    <comment ref="A27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Via Am Felsenkeller, Osterntal
MR: 14,86; 245
Alter Friedhof: 14,96; 250
Neuer Radweg: 14,66; 250
</t>
        </r>
      </text>
    </comment>
    <comment ref="E27" authorId="0">
      <text>
        <r>
          <rPr>
            <sz val="9"/>
            <color indexed="81"/>
            <rFont val="Tahoma"/>
            <family val="2"/>
          </rPr>
          <t>Via Springerquelle</t>
        </r>
      </text>
    </comment>
    <comment ref="E29" authorId="0">
      <text>
        <r>
          <rPr>
            <sz val="9"/>
            <color indexed="81"/>
            <rFont val="Tahoma"/>
            <charset val="1"/>
          </rPr>
          <t>Bis nach Breitendiel</t>
        </r>
      </text>
    </comment>
    <comment ref="A30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Bis Ende (Wendeplatz Heidebuckel)</t>
        </r>
      </text>
    </comment>
    <comment ref="I30" authorId="0">
      <text>
        <r>
          <rPr>
            <sz val="9"/>
            <color indexed="81"/>
            <rFont val="Tahoma"/>
            <charset val="1"/>
          </rPr>
          <t>Verlängerung Weilbach-11: 12,45; 45</t>
        </r>
      </text>
    </comment>
    <comment ref="M30" authorId="1">
      <text>
        <r>
          <rPr>
            <sz val="9"/>
            <color indexed="81"/>
            <rFont val="Tahoma"/>
            <family val="2"/>
          </rPr>
          <t>Um die Hazienda statt Straße bis 440</t>
        </r>
      </text>
    </comment>
    <comment ref="A31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Gotthardsberg, Gotthardsruine vorbei, Reuenthal &amp; Retour</t>
        </r>
      </text>
    </comment>
    <comment ref="E31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205 max</t>
        </r>
      </text>
    </comment>
    <comment ref="A32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Straße bis Osterntal, Rotbild, Nato ab</t>
        </r>
      </text>
    </comment>
    <comment ref="A33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Reine Runde</t>
        </r>
      </text>
    </comment>
    <comment ref="A34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Wende Amorbach Radweg "vernünftiges Ende"</t>
        </r>
      </text>
    </comment>
    <comment ref="E34" authorId="0">
      <text>
        <r>
          <rPr>
            <sz val="9"/>
            <color indexed="81"/>
            <rFont val="Tahoma"/>
            <charset val="1"/>
          </rPr>
          <t>255 max</t>
        </r>
      </text>
    </comment>
    <comment ref="M34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Westlich der Bahnschranke</t>
        </r>
      </text>
    </comment>
    <comment ref="A35" authorId="1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Aussiedlerhof, bis Klingenpfad, Wende</t>
        </r>
      </text>
    </comment>
    <comment ref="Q36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Nicht über Großheubach, Martinsbrücke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Waldautobahn bis Wanderpfad</t>
        </r>
      </text>
    </comment>
    <comment ref="Q37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Wende: Schild P Naturpark</t>
        </r>
      </text>
    </comment>
    <comment ref="A38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Bis NSG oben hin unten her</t>
        </r>
      </text>
    </comment>
    <comment ref="E38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Ernstbrunnengraben - Geyersmühle</t>
        </r>
      </text>
    </comment>
    <comment ref="Q38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Wald vor Bebauung</t>
        </r>
      </text>
    </comment>
    <comment ref="A39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MR, Klingenberger Schlucht, Bischberg, Röllbach, Straße</t>
        </r>
      </text>
    </comment>
    <comment ref="E39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Durch Mainbullau</t>
        </r>
      </text>
    </comment>
    <comment ref="I39" authorId="0">
      <text>
        <r>
          <rPr>
            <sz val="9"/>
            <color indexed="81"/>
            <rFont val="Tahoma"/>
            <charset val="1"/>
          </rPr>
          <t>Einfach</t>
        </r>
      </text>
    </comment>
    <comment ref="Q39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Siemensstraße</t>
        </r>
      </text>
    </comment>
    <comment ref="A40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Über Nord, Steinbruch, Radweg Freudenberg</t>
        </r>
      </text>
    </comment>
    <comment ref="A41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MR, Klingenberger Schlucht, Bischberg, Röllbach, Radweg Paradeismühle</t>
        </r>
      </text>
    </comment>
    <comment ref="E41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Oder Wende 1. Haus + Apfelstraße + Schulzebauer: 10,0 km 40 Hm</t>
        </r>
      </text>
    </comment>
    <comment ref="E42" authorId="1">
      <text>
        <r>
          <rPr>
            <sz val="9"/>
            <color indexed="81"/>
            <rFont val="Tahoma"/>
            <family val="2"/>
          </rPr>
          <t>Standard, danach Richtung Rüdenau, Betonplattenweg links</t>
        </r>
      </text>
    </comment>
    <comment ref="I42" authorId="0">
      <text>
        <r>
          <rPr>
            <sz val="9"/>
            <color indexed="81"/>
            <rFont val="Tahoma"/>
            <charset val="1"/>
          </rPr>
          <t>West</t>
        </r>
      </text>
    </comment>
    <comment ref="E43" authorId="0">
      <text>
        <r>
          <rPr>
            <sz val="9"/>
            <color indexed="81"/>
            <rFont val="Tahoma"/>
            <family val="2"/>
          </rPr>
          <t>Breitendiel-Felsenkeller, Hartungsweg bis Drei-Wege-Wende (262 max)</t>
        </r>
      </text>
    </comment>
    <comment ref="E44" authorId="0">
      <text>
        <r>
          <rPr>
            <sz val="9"/>
            <color indexed="81"/>
            <rFont val="Tahoma"/>
            <charset val="1"/>
          </rPr>
          <t>Nur Straße nur geradeaus bis Wendeplatz</t>
        </r>
      </text>
    </comment>
    <comment ref="E48" authorId="0">
      <text>
        <r>
          <rPr>
            <sz val="9"/>
            <color indexed="81"/>
            <rFont val="Tahoma"/>
            <charset val="1"/>
          </rPr>
          <t>Neudorfer Str. bis Solar und retour</t>
        </r>
      </text>
    </comment>
  </commentList>
</comments>
</file>

<file path=xl/comments3.xml><?xml version="1.0" encoding="utf-8"?>
<comments xmlns="http://schemas.openxmlformats.org/spreadsheetml/2006/main">
  <authors>
    <author>FAN</author>
    <author>fan</author>
    <author>HP</author>
  </authors>
  <commentList>
    <comment ref="D1" authorId="0">
      <text>
        <r>
          <rPr>
            <sz val="9"/>
            <color indexed="81"/>
            <rFont val="Tahoma"/>
            <charset val="1"/>
          </rPr>
          <t>&lt; 350</t>
        </r>
      </text>
    </comment>
    <comment ref="F1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A3" authorId="0">
      <text>
        <r>
          <rPr>
            <sz val="9"/>
            <color indexed="81"/>
            <rFont val="Tahoma"/>
            <charset val="1"/>
          </rPr>
          <t>via Springerquelle
Nato ab: 14,36 km 343 Hm</t>
        </r>
      </text>
    </comment>
    <comment ref="A4" authorId="0">
      <text>
        <r>
          <rPr>
            <sz val="9"/>
            <color indexed="81"/>
            <rFont val="Tahoma"/>
            <charset val="1"/>
          </rPr>
          <t>Normalweg Rotbild, Steinkopf, Nato ab
Alternative via Rüdenau: 16,82 km</t>
        </r>
      </text>
    </comment>
    <comment ref="A5" authorId="0">
      <text>
        <r>
          <rPr>
            <sz val="9"/>
            <color indexed="81"/>
            <rFont val="Tahoma"/>
            <charset val="1"/>
          </rPr>
          <t>Alter Normalweg durch Miltenberg</t>
        </r>
      </text>
    </comment>
    <comment ref="F5" authorId="0">
      <text>
        <r>
          <rPr>
            <sz val="9"/>
            <color indexed="81"/>
            <rFont val="Tahoma"/>
            <family val="2"/>
          </rPr>
          <t>Min Höhe 125 (Feuerwehr Miltenberg)</t>
        </r>
      </text>
    </comment>
    <comment ref="A6" authorId="1">
      <text>
        <r>
          <rPr>
            <sz val="9"/>
            <color indexed="81"/>
            <rFont val="Tahoma"/>
            <charset val="1"/>
          </rPr>
          <t xml:space="preserve">Kreisel, Schafgasse, </t>
        </r>
        <r>
          <rPr>
            <b/>
            <sz val="9"/>
            <color indexed="81"/>
            <rFont val="Tahoma"/>
            <family val="2"/>
          </rPr>
          <t>Bussigberg (341 max)</t>
        </r>
        <r>
          <rPr>
            <sz val="9"/>
            <color indexed="81"/>
            <rFont val="Tahoma"/>
            <charset val="1"/>
          </rPr>
          <t xml:space="preserve">, Frankenring, </t>
        </r>
        <r>
          <rPr>
            <i/>
            <sz val="9"/>
            <color indexed="81"/>
            <rFont val="Tahoma"/>
            <family val="2"/>
          </rPr>
          <t>Brücke (129)</t>
        </r>
        <r>
          <rPr>
            <sz val="9"/>
            <color indexed="81"/>
            <rFont val="Tahoma"/>
            <charset val="1"/>
          </rPr>
          <t xml:space="preserve">, Friedenstraße, Am Bettler, </t>
        </r>
        <r>
          <rPr>
            <b/>
            <sz val="9"/>
            <color indexed="81"/>
            <rFont val="Tahoma"/>
            <family val="2"/>
          </rPr>
          <t>Heunensäulen (240)</t>
        </r>
      </text>
    </comment>
    <comment ref="F6" authorId="1">
      <text>
        <r>
          <rPr>
            <sz val="9"/>
            <color indexed="81"/>
            <rFont val="Tahoma"/>
            <charset val="1"/>
          </rPr>
          <t>341 Bussigberg
240 Heunensäulen</t>
        </r>
      </text>
    </comment>
    <comment ref="A7" authorId="1">
      <text>
        <r>
          <rPr>
            <sz val="9"/>
            <color indexed="81"/>
            <rFont val="Tahoma"/>
            <charset val="1"/>
          </rPr>
          <t xml:space="preserve">Weilbach, Amorbach, Schneeberg, Rippberg, Walldürn-Bahnübergang (345), </t>
        </r>
        <r>
          <rPr>
            <b/>
            <sz val="9"/>
            <color indexed="81"/>
            <rFont val="Tahoma"/>
            <family val="2"/>
          </rPr>
          <t>Walldürn Miltenberger Straße (380 max)</t>
        </r>
        <r>
          <rPr>
            <sz val="9"/>
            <color indexed="81"/>
            <rFont val="Tahoma"/>
            <charset val="1"/>
          </rPr>
          <t xml:space="preserve"> &amp; zurück
</t>
        </r>
        <r>
          <rPr>
            <sz val="8"/>
            <color indexed="81"/>
            <rFont val="Tahoma"/>
            <family val="2"/>
          </rPr>
          <t>2013-10-03 08:40-10:25 3-5°C</t>
        </r>
      </text>
    </comment>
    <comment ref="A8" authorId="1">
      <text>
        <r>
          <rPr>
            <sz val="9"/>
            <color indexed="81"/>
            <rFont val="Tahoma"/>
            <charset val="1"/>
          </rPr>
          <t xml:space="preserve">Mil 4 bis Rüdenau, Rüdenauer Grenzweg, Lärchenweg, Mil 5, Heunesäulen, Mil 5, </t>
        </r>
        <r>
          <rPr>
            <b/>
            <sz val="9"/>
            <color indexed="81"/>
            <rFont val="Tahoma"/>
            <family val="2"/>
          </rPr>
          <t>Suhlenweg (390 max)</t>
        </r>
        <r>
          <rPr>
            <sz val="9"/>
            <color indexed="81"/>
            <rFont val="Tahoma"/>
            <charset val="1"/>
          </rPr>
          <t xml:space="preserve">, Parkplatz, Gänsberg, Nato ab
</t>
        </r>
        <r>
          <rPr>
            <sz val="8"/>
            <color indexed="81"/>
            <rFont val="Tahoma"/>
            <family val="2"/>
          </rPr>
          <t>Nach Parkplatz ab: 13,4 km 285 Hm ca. 55 min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 xml:space="preserve">Nach Heunesäulen ab: 10,5 km 185 Hm ca. 45 min
</t>
        </r>
      </text>
    </comment>
    <comment ref="A9" authorId="2">
      <text>
        <r>
          <rPr>
            <b/>
            <u/>
            <sz val="9"/>
            <color indexed="81"/>
            <rFont val="Tahoma"/>
            <family val="2"/>
          </rPr>
          <t>Rennrad-Relaxed</t>
        </r>
        <r>
          <rPr>
            <sz val="9"/>
            <color indexed="81"/>
            <rFont val="Tahoma"/>
            <charset val="1"/>
          </rPr>
          <t xml:space="preserve">
Nur Radweg über Nord; Start über Apfelstraße
</t>
        </r>
        <r>
          <rPr>
            <sz val="8"/>
            <color indexed="81"/>
            <rFont val="Tahoma"/>
            <family val="2"/>
          </rPr>
          <t>So. 2017-07-16 Start 7:00 - 9:10, 1 * Pause, 12 °C - 18 °C</t>
        </r>
      </text>
    </comment>
    <comment ref="A11" authorId="2">
      <text>
        <r>
          <rPr>
            <b/>
            <sz val="9"/>
            <color indexed="81"/>
            <rFont val="Tahoma"/>
            <family val="2"/>
          </rPr>
          <t>Gotthardsruine (304)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Reuenthal (197)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Heidebuckel (349 max), </t>
        </r>
        <r>
          <rPr>
            <sz val="9"/>
            <color indexed="81"/>
            <rFont val="Tahoma"/>
            <family val="2"/>
          </rPr>
          <t xml:space="preserve">Laurentiusstraße (126)
Sa. </t>
        </r>
        <r>
          <rPr>
            <sz val="8"/>
            <color indexed="81"/>
            <rFont val="Tahoma"/>
            <family val="2"/>
          </rPr>
          <t>2018-09-15, 15 °C Sonnig</t>
        </r>
      </text>
    </comment>
    <comment ref="A12" authorId="1">
      <text>
        <r>
          <rPr>
            <sz val="9"/>
            <color indexed="81"/>
            <rFont val="Tahoma"/>
            <charset val="1"/>
          </rPr>
          <t xml:space="preserve">Kleinheubach-Altort - Klingenberg-Kreisel: Radweg </t>
        </r>
        <r>
          <rPr>
            <i/>
            <sz val="9"/>
            <color indexed="81"/>
            <rFont val="Tahoma"/>
            <family val="2"/>
          </rPr>
          <t>(Schwimmbad 122 min)</t>
        </r>
        <r>
          <rPr>
            <sz val="9"/>
            <color indexed="81"/>
            <rFont val="Tahoma"/>
            <charset val="1"/>
          </rPr>
          <t xml:space="preserve">, Klingenberger Schlucht, Bergwerk, </t>
        </r>
        <r>
          <rPr>
            <b/>
            <sz val="9"/>
            <color indexed="81"/>
            <rFont val="Tahoma"/>
            <family val="2"/>
          </rPr>
          <t>Bisch-Berg (300 max)</t>
        </r>
        <r>
          <rPr>
            <sz val="9"/>
            <color indexed="81"/>
            <rFont val="Tahoma"/>
            <charset val="1"/>
          </rPr>
          <t xml:space="preserve">, Schmachtenberg, Röllbach, Rosshof, Großheubach Frankenring-Kreisel, MR
</t>
        </r>
        <r>
          <rPr>
            <sz val="8"/>
            <color indexed="81"/>
            <rFont val="Tahoma"/>
            <family val="2"/>
          </rPr>
          <t>Alternative "Paradeismühle": 33,5 km; 275 Hm</t>
        </r>
      </text>
    </comment>
    <comment ref="F12" authorId="1">
      <text>
        <r>
          <rPr>
            <sz val="9"/>
            <color indexed="81"/>
            <rFont val="Tahoma"/>
            <charset val="1"/>
          </rPr>
          <t>Bischberg Pass</t>
        </r>
      </text>
    </comment>
    <comment ref="A13" authorId="1">
      <text>
        <r>
          <rPr>
            <sz val="9"/>
            <color indexed="81"/>
            <rFont val="Tahoma"/>
            <charset val="1"/>
          </rPr>
          <t xml:space="preserve">Weilbach, Amorbach, Schneeberg, Rippberg, </t>
        </r>
        <r>
          <rPr>
            <b/>
            <sz val="9"/>
            <color indexed="81"/>
            <rFont val="Tahoma"/>
            <family val="2"/>
          </rPr>
          <t>Walldürn-Bahnübergang (345 max)</t>
        </r>
        <r>
          <rPr>
            <sz val="9"/>
            <color indexed="81"/>
            <rFont val="Tahoma"/>
            <charset val="1"/>
          </rPr>
          <t xml:space="preserve"> &amp; zurück
</t>
        </r>
        <r>
          <rPr>
            <sz val="8"/>
            <color indexed="81"/>
            <rFont val="Tahoma"/>
            <family val="2"/>
          </rPr>
          <t>2013-01-06 10:00-11:40 8°C</t>
        </r>
      </text>
    </comment>
    <comment ref="A14" authorId="1">
      <text>
        <r>
          <rPr>
            <sz val="9"/>
            <color indexed="81"/>
            <rFont val="Tahoma"/>
            <charset val="1"/>
          </rPr>
          <t>Weilbach, Weckbach, Wiesenthal, Ohrnbach, Geyersmühle, …, Weckbach, Gönz, Weckbach, Weilbach, Breitendiel</t>
        </r>
      </text>
    </comment>
    <comment ref="A15" authorId="1">
      <text>
        <r>
          <rPr>
            <sz val="9"/>
            <color indexed="81"/>
            <rFont val="Tahoma"/>
            <charset val="1"/>
          </rPr>
          <t xml:space="preserve">Nur Radweg: Großheubach, Röllfeld, Rosshofweg &amp; Retour
Vernünftiges Ende: 27,0 km; 250 Hm
</t>
        </r>
        <r>
          <rPr>
            <sz val="8"/>
            <color indexed="81"/>
            <rFont val="Tahoma"/>
            <family val="2"/>
          </rPr>
          <t>2017-02-15, 9 - 10 °C, sonnig, windstill
Runde ab Wasserwerk: 5,4 km 162 Hm</t>
        </r>
      </text>
    </comment>
    <comment ref="A16" authorId="1">
      <text>
        <r>
          <rPr>
            <sz val="9"/>
            <color indexed="81"/>
            <rFont val="Tahoma"/>
            <charset val="1"/>
          </rPr>
          <t xml:space="preserve">Nur Radweg via Paradeismühle bis Röllbach, vor Roßhof retour
</t>
        </r>
        <r>
          <rPr>
            <sz val="8"/>
            <color indexed="81"/>
            <rFont val="Tahoma"/>
            <family val="2"/>
          </rPr>
          <t>Samstag 2015-10-10 9:30 - 11:15 10 °C Hochnebel</t>
        </r>
      </text>
    </comment>
    <comment ref="A18" authorId="1">
      <text>
        <r>
          <rPr>
            <b/>
            <u/>
            <sz val="9"/>
            <color indexed="81"/>
            <rFont val="Tahoma"/>
            <family val="2"/>
          </rPr>
          <t>Bussigberg über Röllfelder Gemarkung</t>
        </r>
        <r>
          <rPr>
            <sz val="9"/>
            <color indexed="81"/>
            <rFont val="Tahoma"/>
            <charset val="1"/>
          </rPr>
          <t xml:space="preserve">
Radweg bis Lachenthal </t>
        </r>
        <r>
          <rPr>
            <i/>
            <sz val="9"/>
            <color indexed="81"/>
            <rFont val="Tahoma"/>
            <family val="2"/>
          </rPr>
          <t>(123 min)</t>
        </r>
        <r>
          <rPr>
            <sz val="9"/>
            <color indexed="81"/>
            <rFont val="Tahoma"/>
            <charset val="1"/>
          </rPr>
          <t xml:space="preserve">, Linker Pfad, Gähbahnweg, Ringweg, M-Weg bis </t>
        </r>
        <r>
          <rPr>
            <b/>
            <sz val="9"/>
            <color indexed="81"/>
            <rFont val="Tahoma"/>
            <family val="2"/>
          </rPr>
          <t>Bussigberg (341 max)</t>
        </r>
        <r>
          <rPr>
            <sz val="9"/>
            <color indexed="81"/>
            <rFont val="Tahoma"/>
            <charset val="1"/>
          </rPr>
          <t xml:space="preserve"> &amp; retour
</t>
        </r>
        <r>
          <rPr>
            <sz val="8"/>
            <color indexed="81"/>
            <rFont val="Tahoma"/>
            <family val="2"/>
          </rPr>
          <t>Samstag 2015-01-03, 3-5 °C, wolkig, trocken</t>
        </r>
      </text>
    </comment>
    <comment ref="A19" authorId="2">
      <text>
        <r>
          <rPr>
            <sz val="9"/>
            <color indexed="81"/>
            <rFont val="Tahoma"/>
            <family val="2"/>
          </rPr>
          <t>Weilbach, Reuenthal, Heidebuckel, Laurentiusbrücke, Hobby-Wasch</t>
        </r>
      </text>
    </comment>
    <comment ref="A20" authorId="2">
      <text>
        <r>
          <rPr>
            <sz val="9"/>
            <color indexed="81"/>
            <rFont val="Tahoma"/>
            <family val="2"/>
          </rPr>
          <t>Großheubach, R-Weg, 2-Weg bis 2. Wendeplatz</t>
        </r>
      </text>
    </comment>
    <comment ref="A21" authorId="1">
      <text>
        <r>
          <rPr>
            <sz val="9"/>
            <color indexed="81"/>
            <rFont val="Tahoma"/>
            <charset val="1"/>
          </rPr>
          <t xml:space="preserve">Miltenberg - Nibelungenstraße: Radweg; </t>
        </r>
        <r>
          <rPr>
            <b/>
            <sz val="9"/>
            <color indexed="81"/>
            <rFont val="Tahoma"/>
            <family val="2"/>
          </rPr>
          <t xml:space="preserve">B47 Wende erster Waldweg (300 max)
</t>
        </r>
        <r>
          <rPr>
            <sz val="8"/>
            <color indexed="81"/>
            <rFont val="Tahoma"/>
            <family val="2"/>
          </rPr>
          <t xml:space="preserve">2012-04-09 Ostermontag 8°C
2012-11-18 Sonntag 8°C
</t>
        </r>
        <r>
          <rPr>
            <sz val="8"/>
            <color indexed="81"/>
            <rFont val="Tahoma"/>
            <family val="2"/>
          </rPr>
          <t>2. Waldweg: 20,5 km; 245 Hm; 320 max</t>
        </r>
      </text>
    </comment>
    <comment ref="A22" authorId="0">
      <text>
        <r>
          <rPr>
            <sz val="9"/>
            <color indexed="81"/>
            <rFont val="Tahoma"/>
            <charset val="1"/>
          </rPr>
          <t>Maintal-Radweg bis Trennfurt, Schützenhaus, Kirchberg, Laudenbach, Kleinheubach (Gänswiese, Rüdenau)</t>
        </r>
      </text>
    </comment>
    <comment ref="F22" authorId="0">
      <text>
        <r>
          <rPr>
            <sz val="9"/>
            <color indexed="81"/>
            <rFont val="Tahoma"/>
            <charset val="1"/>
          </rPr>
          <t>min Höhe 124</t>
        </r>
      </text>
    </comment>
    <comment ref="A23" authorId="1">
      <text>
        <r>
          <rPr>
            <sz val="9"/>
            <color indexed="81"/>
            <rFont val="Tahoma"/>
            <charset val="1"/>
          </rPr>
          <t>MR, Felsenkeller, Rüdenau, Gänsberg (Schiebepassage), Nato ab</t>
        </r>
      </text>
    </comment>
    <comment ref="A24" authorId="1">
      <text>
        <r>
          <rPr>
            <b/>
            <u/>
            <sz val="9"/>
            <color indexed="81"/>
            <rFont val="Tahoma"/>
            <family val="2"/>
          </rPr>
          <t>2,4 km Trail!</t>
        </r>
        <r>
          <rPr>
            <sz val="9"/>
            <color indexed="81"/>
            <rFont val="Tahoma"/>
            <charset val="1"/>
          </rPr>
          <t xml:space="preserve">
MR bis </t>
        </r>
        <r>
          <rPr>
            <i/>
            <sz val="9"/>
            <color indexed="81"/>
            <rFont val="Tahoma"/>
            <family val="2"/>
          </rPr>
          <t>Lachental (122 min)</t>
        </r>
        <r>
          <rPr>
            <sz val="9"/>
            <color indexed="81"/>
            <rFont val="Tahoma"/>
            <charset val="1"/>
          </rPr>
          <t xml:space="preserve">, Eichenrain, Gähbahn, </t>
        </r>
        <r>
          <rPr>
            <b/>
            <sz val="9"/>
            <color indexed="81"/>
            <rFont val="Tahoma"/>
            <family val="2"/>
          </rPr>
          <t>NSG (280 max)</t>
        </r>
        <r>
          <rPr>
            <sz val="9"/>
            <color indexed="81"/>
            <rFont val="Tahoma"/>
            <charset val="1"/>
          </rPr>
          <t>, Lachental, MR</t>
        </r>
      </text>
    </comment>
    <comment ref="A25" authorId="0">
      <text>
        <r>
          <rPr>
            <sz val="9"/>
            <color indexed="81"/>
            <rFont val="Tahoma"/>
            <charset val="1"/>
          </rPr>
          <t>Promilleweg, Oberer Weinbergweg, Engelberg, R-Weg &amp; zurück</t>
        </r>
      </text>
    </comment>
    <comment ref="A26" authorId="1">
      <text>
        <r>
          <rPr>
            <b/>
            <u/>
            <sz val="9"/>
            <color indexed="81"/>
            <rFont val="Tahoma"/>
            <family val="2"/>
          </rPr>
          <t>2,8 km Trail!</t>
        </r>
        <r>
          <rPr>
            <u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MR, Treppe, Frankenring, Fasanenallee, Treppe, Roßhofweg, Singletrail, Radweg zurück</t>
        </r>
      </text>
    </comment>
    <comment ref="A27" authorId="1">
      <text>
        <r>
          <rPr>
            <sz val="9"/>
            <color indexed="81"/>
            <rFont val="Tahoma"/>
            <charset val="1"/>
          </rPr>
          <t>Nur Radweg via Paradeismühle bis Röllbach Radweg-Kreuzung und Retour
Verlängerung Radweg-Geiersberg: 45,96 km 502 Hm</t>
        </r>
      </text>
    </comment>
    <comment ref="F27" authorId="1">
      <text>
        <r>
          <rPr>
            <sz val="9"/>
            <color indexed="81"/>
            <rFont val="Tahoma"/>
            <charset val="1"/>
          </rPr>
          <t>Wendepunkt</t>
        </r>
      </text>
    </comment>
    <comment ref="A28" authorId="0">
      <text>
        <r>
          <rPr>
            <sz val="9"/>
            <color indexed="81"/>
            <rFont val="Tahoma"/>
            <family val="2"/>
          </rPr>
          <t>Wie FB nur mit Waldweg in Röllfeld</t>
        </r>
      </text>
    </comment>
    <comment ref="F28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Abzweigung Rosshof - Bussigberg</t>
        </r>
      </text>
    </comment>
    <comment ref="A29" authorId="1">
      <text>
        <r>
          <rPr>
            <sz val="9"/>
            <color indexed="81"/>
            <rFont val="Tahoma"/>
            <family val="2"/>
          </rPr>
          <t xml:space="preserve">Weilbach, Amorbach, Schneeberg, Zittenfelden, Hettigenbeuern Ortsschild </t>
        </r>
        <r>
          <rPr>
            <i/>
            <sz val="9"/>
            <color indexed="81"/>
            <rFont val="Tahoma"/>
            <family val="2"/>
          </rPr>
          <t>(Wende)</t>
        </r>
      </text>
    </comment>
    <comment ref="A30" authorId="0">
      <text>
        <r>
          <rPr>
            <u/>
            <sz val="9"/>
            <color indexed="81"/>
            <rFont val="Tahoma"/>
            <family val="2"/>
          </rPr>
          <t>Verkehrsvermeidend!</t>
        </r>
        <r>
          <rPr>
            <sz val="9"/>
            <color indexed="81"/>
            <rFont val="Tahoma"/>
            <charset val="1"/>
          </rPr>
          <t xml:space="preserve"> Radweg Großheubach, </t>
        </r>
        <r>
          <rPr>
            <i/>
            <sz val="9"/>
            <color indexed="81"/>
            <rFont val="Tahoma"/>
            <family val="2"/>
          </rPr>
          <t>Röllfeld (120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Paradeismühle,</t>
        </r>
        <r>
          <rPr>
            <sz val="9"/>
            <color indexed="81"/>
            <rFont val="Tahoma"/>
            <charset val="1"/>
          </rPr>
          <t xml:space="preserve"> Röllbach,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Rosshof (281 max)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Großheubach (Frankenring, Kreisel, Friedhof), Radweg zurück</t>
        </r>
      </text>
    </comment>
    <comment ref="F30" authorId="0">
      <text>
        <r>
          <rPr>
            <sz val="9"/>
            <color indexed="81"/>
            <rFont val="Tahoma"/>
            <family val="2"/>
          </rPr>
          <t>Abzweigung Rosshof - Bussigberg</t>
        </r>
      </text>
    </comment>
    <comment ref="A31" authorId="0">
      <text>
        <r>
          <rPr>
            <sz val="9"/>
            <color indexed="81"/>
            <rFont val="Tahoma"/>
            <family val="2"/>
          </rPr>
          <t xml:space="preserve">Normalweg: Kreisel-Ost, Schafgasse, Beim Trieb, </t>
        </r>
        <r>
          <rPr>
            <b/>
            <sz val="9"/>
            <color indexed="81"/>
            <rFont val="Tahoma"/>
            <family val="2"/>
          </rPr>
          <t>Arbeiterwohlfahrt (245 max)</t>
        </r>
        <r>
          <rPr>
            <sz val="9"/>
            <color indexed="81"/>
            <rFont val="Tahoma"/>
            <family val="2"/>
          </rPr>
          <t>, Klotzenhofweg, Röllbacher Straße, Frankenring, Kreisel-West</t>
        </r>
      </text>
    </comment>
    <comment ref="A32" authorId="0">
      <text>
        <r>
          <rPr>
            <sz val="9"/>
            <color indexed="81"/>
            <rFont val="Tahoma"/>
            <charset val="1"/>
          </rPr>
          <t xml:space="preserve">Radweg bis Aussiedlerhof zwischen Großheubach und Röllfeld </t>
        </r>
        <r>
          <rPr>
            <i/>
            <sz val="9"/>
            <color indexed="81"/>
            <rFont val="Tahoma"/>
            <family val="2"/>
          </rPr>
          <t>(122 min),</t>
        </r>
        <r>
          <rPr>
            <sz val="9"/>
            <color indexed="81"/>
            <rFont val="Tahoma"/>
            <charset val="1"/>
          </rPr>
          <t xml:space="preserve"> Rotweinwanderweg (RW) über Bischofsberg </t>
        </r>
        <r>
          <rPr>
            <b/>
            <sz val="9"/>
            <color indexed="81"/>
            <rFont val="Tahoma"/>
            <family val="2"/>
          </rPr>
          <t>(207),</t>
        </r>
        <r>
          <rPr>
            <sz val="9"/>
            <color indexed="81"/>
            <rFont val="Tahoma"/>
            <charset val="1"/>
          </rPr>
          <t xml:space="preserve"> Mainwanderweg (M) über Heubach </t>
        </r>
        <r>
          <rPr>
            <i/>
            <sz val="9"/>
            <color indexed="81"/>
            <rFont val="Tahoma"/>
            <family val="2"/>
          </rPr>
          <t>(143)</t>
        </r>
        <r>
          <rPr>
            <sz val="9"/>
            <color indexed="81"/>
            <rFont val="Tahoma"/>
            <charset val="1"/>
          </rPr>
          <t xml:space="preserve"> und Engelsberg </t>
        </r>
        <r>
          <rPr>
            <b/>
            <sz val="9"/>
            <color indexed="81"/>
            <rFont val="Tahoma"/>
            <family val="2"/>
          </rPr>
          <t>(215 max)</t>
        </r>
        <r>
          <rPr>
            <sz val="9"/>
            <color indexed="81"/>
            <rFont val="Tahoma"/>
            <charset val="1"/>
          </rPr>
          <t xml:space="preserve"> bis Promilleweg, Radweg zurück</t>
        </r>
      </text>
    </comment>
    <comment ref="A33" authorId="1">
      <text>
        <r>
          <rPr>
            <sz val="9"/>
            <color indexed="81"/>
            <rFont val="Tahoma"/>
            <charset val="1"/>
          </rPr>
          <t>Normalweg auf, R-Weg ab</t>
        </r>
      </text>
    </comment>
    <comment ref="A34" authorId="1">
      <text>
        <r>
          <rPr>
            <sz val="9"/>
            <color indexed="81"/>
            <rFont val="Tahoma"/>
            <charset val="1"/>
          </rPr>
          <t>Weilbach, Amorbach, Otterbach &amp; Retour (Nur Radweg)</t>
        </r>
      </text>
    </comment>
    <comment ref="A35" authorId="1">
      <text>
        <r>
          <rPr>
            <sz val="9"/>
            <color indexed="81"/>
            <rFont val="Tahoma"/>
            <family val="2"/>
          </rPr>
          <t>Engelberg Normalweg über Schafgasse</t>
        </r>
      </text>
    </comment>
    <comment ref="F35" authorId="1">
      <text>
        <r>
          <rPr>
            <sz val="9"/>
            <color indexed="81"/>
            <rFont val="Tahoma"/>
            <charset val="1"/>
          </rPr>
          <t>Parkplatz</t>
        </r>
      </text>
    </comment>
    <comment ref="A36" authorId="1">
      <text>
        <r>
          <rPr>
            <sz val="9"/>
            <color indexed="81"/>
            <rFont val="Tahoma"/>
            <charset val="1"/>
          </rPr>
          <t xml:space="preserve">Radweg: Miltenberg - </t>
        </r>
        <r>
          <rPr>
            <i/>
            <sz val="9"/>
            <color indexed="81"/>
            <rFont val="Tahoma"/>
            <family val="2"/>
          </rPr>
          <t>Röllfeld (120 min)</t>
        </r>
        <r>
          <rPr>
            <sz val="9"/>
            <color indexed="81"/>
            <rFont val="Tahoma"/>
            <charset val="1"/>
          </rPr>
          <t xml:space="preserve">, Straße: Röllbach </t>
        </r>
        <r>
          <rPr>
            <b/>
            <sz val="9"/>
            <color indexed="81"/>
            <rFont val="Tahoma"/>
            <family val="2"/>
          </rPr>
          <t>(Röte 240 max)</t>
        </r>
        <r>
          <rPr>
            <sz val="9"/>
            <color indexed="81"/>
            <rFont val="Tahoma"/>
            <charset val="1"/>
          </rPr>
          <t xml:space="preserve"> - Großheubach (Frankenring, Kreisel, Friedhof), Radweg zurück</t>
        </r>
      </text>
    </comment>
    <comment ref="F36" authorId="1">
      <text>
        <r>
          <rPr>
            <sz val="9"/>
            <color indexed="81"/>
            <rFont val="Tahoma"/>
            <family val="2"/>
          </rPr>
          <t>Röte</t>
        </r>
      </text>
    </comment>
    <comment ref="A37" authorId="1">
      <text>
        <r>
          <rPr>
            <sz val="9"/>
            <color indexed="81"/>
            <rFont val="Tahoma"/>
            <family val="2"/>
          </rPr>
          <t xml:space="preserve">Weilbach, Weckbach, Wiesenthal, Ohrnbach, Geyersmühle
</t>
        </r>
        <r>
          <rPr>
            <sz val="8"/>
            <color indexed="81"/>
            <rFont val="Tahoma"/>
            <family val="2"/>
          </rPr>
          <t>Max: 30,3 km 270 Hm (Wende 3. Waldweg)
1.WW: 27,7 km 180 Hm
Min: 21,2 km 100 Hm (Wende Ausbauende 2014)</t>
        </r>
      </text>
    </comment>
    <comment ref="A38" authorId="0">
      <text>
        <r>
          <rPr>
            <sz val="9"/>
            <color indexed="81"/>
            <rFont val="Tahoma"/>
            <charset val="1"/>
          </rPr>
          <t>Radweg Obernburg geradeaus, Waldhausstraße, Sendeturm</t>
        </r>
      </text>
    </comment>
    <comment ref="A40" authorId="1">
      <text>
        <r>
          <rPr>
            <sz val="9"/>
            <color indexed="81"/>
            <rFont val="Tahoma"/>
            <charset val="1"/>
          </rPr>
          <t>Hin: Radweg. Heim: Philosophenweg
Wende: "Mühlfeld" Rippberg erste Scheune</t>
        </r>
      </text>
    </comment>
    <comment ref="A41" authorId="1">
      <text>
        <r>
          <rPr>
            <sz val="9"/>
            <color indexed="81"/>
            <rFont val="Tahoma"/>
            <charset val="1"/>
          </rPr>
          <t xml:space="preserve">Weilbach, Amorbach Richtung Neudorf </t>
        </r>
        <r>
          <rPr>
            <b/>
            <sz val="9"/>
            <color indexed="81"/>
            <rFont val="Tahoma"/>
            <family val="2"/>
          </rPr>
          <t>(238 max)</t>
        </r>
        <r>
          <rPr>
            <sz val="9"/>
            <color indexed="81"/>
            <rFont val="Tahoma"/>
            <charset val="1"/>
          </rPr>
          <t xml:space="preserve">, Schneeberg Ortsschild, Tempo 30 (vor 1. Haus) Wende
</t>
        </r>
        <r>
          <rPr>
            <sz val="8"/>
            <color indexed="81"/>
            <rFont val="Tahoma"/>
            <family val="2"/>
          </rPr>
          <t>2017-02-25 6°C Locker bewölkt</t>
        </r>
      </text>
    </comment>
    <comment ref="A42" authorId="0">
      <text>
        <r>
          <rPr>
            <sz val="9"/>
            <color indexed="81"/>
            <rFont val="Tahoma"/>
            <charset val="1"/>
          </rPr>
          <t xml:space="preserve">Radweg Weilbach, Weckbach, Gönz 1. Kreuzung, Wende
</t>
        </r>
        <r>
          <rPr>
            <sz val="8"/>
            <color indexed="81"/>
            <rFont val="Tahoma"/>
            <family val="2"/>
          </rPr>
          <t>Wende Max: 22,9 km; 153 Hm</t>
        </r>
      </text>
    </comment>
    <comment ref="A43" authorId="0">
      <text>
        <r>
          <rPr>
            <sz val="9"/>
            <color indexed="81"/>
            <rFont val="Tahoma"/>
            <charset val="1"/>
          </rPr>
          <t>Via Martinsbrücke bis Asphalt-Ende</t>
        </r>
      </text>
    </comment>
    <comment ref="A44" authorId="1">
      <text>
        <r>
          <rPr>
            <sz val="9"/>
            <color indexed="81"/>
            <rFont val="Tahoma"/>
            <charset val="1"/>
          </rPr>
          <t xml:space="preserve">Mil, Kleinheubach Altort, Laudenbach Maingasse - Aufseßring (CR) - Mainblick, Kleinheuach am Bettler (CR), </t>
        </r>
        <r>
          <rPr>
            <b/>
            <sz val="9"/>
            <color indexed="81"/>
            <rFont val="Tahoma"/>
            <family val="2"/>
          </rPr>
          <t>Rüdenau (190 max)</t>
        </r>
        <r>
          <rPr>
            <sz val="9"/>
            <color indexed="81"/>
            <rFont val="Tahoma"/>
            <charset val="1"/>
          </rPr>
          <t xml:space="preserve">, MIL 4, Bergäcker-Radweg, Breitendiel Greinbergstraße, Radweg Mil
</t>
        </r>
        <r>
          <rPr>
            <sz val="8"/>
            <color indexed="81"/>
            <rFont val="Tahoma"/>
            <family val="2"/>
          </rPr>
          <t>Sonntag 2015-02-15, 2 °C, Hochnebel
"Asphalt ohne Rüdenau": 16,5 km 90 Hm</t>
        </r>
      </text>
    </comment>
    <comment ref="A45" authorId="1">
      <text>
        <r>
          <rPr>
            <sz val="9"/>
            <color indexed="81"/>
            <rFont val="Tahoma"/>
            <charset val="1"/>
          </rPr>
          <t xml:space="preserve">Normalweg am Hang bis Ortsschild;
Mainblick: 14,00; 110 Hm (Kasten) Bank: 14,64; 117 Hm
Asphalt max: 14,00 km; 143 Hm (Wald)
</t>
        </r>
        <r>
          <rPr>
            <sz val="8"/>
            <color indexed="81"/>
            <rFont val="Tahoma"/>
            <family val="2"/>
          </rPr>
          <t>J-Friedhof: 160 Hm
Rüdenau über Weg anhängen: 3,07 km 66 Hm
Breitendiel-Max &amp; retour anhängen: 6,2 km 25 Hm</t>
        </r>
      </text>
    </comment>
    <comment ref="F45" authorId="1">
      <text>
        <r>
          <rPr>
            <sz val="9"/>
            <color indexed="81"/>
            <rFont val="Tahoma"/>
            <charset val="1"/>
          </rPr>
          <t>Min Höhe 123</t>
        </r>
      </text>
    </comment>
    <comment ref="A46" authorId="1">
      <text>
        <r>
          <rPr>
            <sz val="9"/>
            <color indexed="81"/>
            <rFont val="Tahoma"/>
            <charset val="1"/>
          </rPr>
          <t>Radweg bis Aussiedlerhof zwischen Großheubach und Röllfeld, Weinbergweg, Frankenring, Kreisel, Friedhof, Radweg</t>
        </r>
      </text>
    </comment>
  </commentList>
</comments>
</file>

<file path=xl/comments4.xml><?xml version="1.0" encoding="utf-8"?>
<comments xmlns="http://schemas.openxmlformats.org/spreadsheetml/2006/main">
  <authors>
    <author>FAN</author>
    <author>fan</author>
    <author>HP</author>
  </authors>
  <commentList>
    <comment ref="D1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&gt;= 350 &lt; 500</t>
        </r>
      </text>
    </comment>
    <comment ref="F1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A2" authorId="1">
      <text>
        <r>
          <rPr>
            <sz val="9"/>
            <color indexed="81"/>
            <rFont val="Tahoma"/>
            <charset val="1"/>
          </rPr>
          <t xml:space="preserve">Am Bettler, Schützenhaus, Kühruhbrunnen, Martinsblick, Schindgraben, Molkengraben, </t>
        </r>
        <r>
          <rPr>
            <u/>
            <sz val="9"/>
            <color indexed="81"/>
            <rFont val="Tahoma"/>
            <family val="2"/>
          </rPr>
          <t>Hessen:</t>
        </r>
        <r>
          <rPr>
            <sz val="9"/>
            <color indexed="81"/>
            <rFont val="Tahoma"/>
            <charset val="1"/>
          </rPr>
          <t xml:space="preserve"> Landelgraben, Langestein-Schneise, </t>
        </r>
        <r>
          <rPr>
            <u/>
            <sz val="9"/>
            <color indexed="81"/>
            <rFont val="Tahoma"/>
            <family val="2"/>
          </rPr>
          <t>Bayern:</t>
        </r>
        <r>
          <rPr>
            <sz val="9"/>
            <color indexed="81"/>
            <rFont val="Tahoma"/>
            <charset val="1"/>
          </rPr>
          <t xml:space="preserve"> Lauseiche, Rauschen, Rotes Bild, Steinkopf, Nato-Straße
</t>
        </r>
        <r>
          <rPr>
            <u/>
            <sz val="9"/>
            <color indexed="81"/>
            <rFont val="Tahoma"/>
            <family val="2"/>
          </rPr>
          <t xml:space="preserve">Alternative "Maurusweg": </t>
        </r>
        <r>
          <rPr>
            <sz val="9"/>
            <color indexed="81"/>
            <rFont val="Tahoma"/>
            <charset val="1"/>
          </rPr>
          <t xml:space="preserve">23,75 km; 480 Hm
</t>
        </r>
        <r>
          <rPr>
            <u/>
            <sz val="9"/>
            <color indexed="81"/>
            <rFont val="Tahoma"/>
            <family val="2"/>
          </rPr>
          <t>Alternative "Maurusweg/Kreuzeiche":</t>
        </r>
        <r>
          <rPr>
            <sz val="9"/>
            <color indexed="81"/>
            <rFont val="Tahoma"/>
            <charset val="1"/>
          </rPr>
          <t xml:space="preserve"> 24,33 km 480 Hm (1:40)
</t>
        </r>
        <r>
          <rPr>
            <u/>
            <sz val="9"/>
            <color indexed="81"/>
            <rFont val="Tahoma"/>
            <family val="2"/>
          </rPr>
          <t>Variante "Schafbuckel":</t>
        </r>
        <r>
          <rPr>
            <sz val="9"/>
            <color indexed="81"/>
            <rFont val="Tahoma"/>
            <charset val="1"/>
          </rPr>
          <t xml:space="preserve"> 21,48 km; 465 Hm (1:15)
</t>
        </r>
        <r>
          <rPr>
            <u/>
            <sz val="9"/>
            <color indexed="81"/>
            <rFont val="Tahoma"/>
            <family val="2"/>
          </rPr>
          <t>Variante + "Alte Ruhe":</t>
        </r>
        <r>
          <rPr>
            <sz val="9"/>
            <color indexed="81"/>
            <rFont val="Tahoma"/>
            <charset val="1"/>
          </rPr>
          <t xml:space="preserve"> 24,56 km; 505 Hm (1:20)</t>
        </r>
      </text>
    </comment>
    <comment ref="A3" authorId="1">
      <text>
        <r>
          <rPr>
            <b/>
            <u/>
            <sz val="9"/>
            <color indexed="81"/>
            <rFont val="Tahoma"/>
            <family val="2"/>
          </rPr>
          <t>"Wald von Arenberg"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Kleinheubach, Laudenbach, </t>
        </r>
        <r>
          <rPr>
            <i/>
            <sz val="9"/>
            <color indexed="81"/>
            <rFont val="Tahoma"/>
            <family val="2"/>
          </rPr>
          <t>Trennfurt (123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Kirchberg (296)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Arnsberg (340)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Bremhof-Pass (416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Maurusweg (400)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Geyersmühle (260)</t>
        </r>
        <r>
          <rPr>
            <sz val="9"/>
            <color indexed="81"/>
            <rFont val="Tahoma"/>
            <family val="2"/>
          </rPr>
          <t xml:space="preserve">, Ohrenbach, Wiesenthal, Weckbach, Weilbach, </t>
        </r>
        <r>
          <rPr>
            <i/>
            <sz val="9"/>
            <color indexed="81"/>
            <rFont val="Tahoma"/>
            <family val="2"/>
          </rPr>
          <t>Mud (140)</t>
        </r>
        <r>
          <rPr>
            <sz val="9"/>
            <color indexed="81"/>
            <rFont val="Tahoma"/>
            <family val="2"/>
          </rPr>
          <t xml:space="preserve">, Breitendiel
</t>
        </r>
        <r>
          <rPr>
            <sz val="8"/>
            <color indexed="81"/>
            <rFont val="Tahoma"/>
            <family val="2"/>
          </rPr>
          <t>Sonntag 2013-11-24, 10:30 - 12:40 4:10 brutto, 6°C Sonnig, 0.75ℓ
Sonntag 2014-06-01 Variante "Wellig-Brandschneise-Ohrenbach": 35,3 km; 528 Hm
Sonntag 2016-11-16 Variante "Verkehrsfrei": 32,56 km; 620 Hm</t>
        </r>
      </text>
    </comment>
    <comment ref="D3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GPS und Höhendifferenz gemittelt</t>
        </r>
      </text>
    </comment>
    <comment ref="F3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Bremhof-Pass</t>
        </r>
      </text>
    </comment>
    <comment ref="A4" authorId="1">
      <text>
        <r>
          <rPr>
            <b/>
            <u/>
            <sz val="9"/>
            <color indexed="81"/>
            <rFont val="Tahoma"/>
            <family val="2"/>
          </rPr>
          <t>Zwei Türme Wenschdorf-Neudorf</t>
        </r>
        <r>
          <rPr>
            <sz val="9"/>
            <color indexed="81"/>
            <rFont val="Tahoma"/>
            <charset val="1"/>
          </rPr>
          <t xml:space="preserve">
Alter Normalweg durch Miltenberg</t>
        </r>
      </text>
    </comment>
    <comment ref="A5" authorId="1">
      <text>
        <r>
          <rPr>
            <sz val="9"/>
            <color indexed="81"/>
            <rFont val="Tahoma"/>
            <charset val="1"/>
          </rPr>
          <t xml:space="preserve">Weilbach, Weckbach, Wiesenthal, Ohrnbach, Geyersmühle, Cross: Rauschen, Rotes Bild, </t>
        </r>
        <r>
          <rPr>
            <b/>
            <sz val="9"/>
            <color indexed="81"/>
            <rFont val="Tahoma"/>
            <family val="2"/>
          </rPr>
          <t>Steinkopf (460 max)</t>
        </r>
        <r>
          <rPr>
            <sz val="9"/>
            <color indexed="81"/>
            <rFont val="Tahoma"/>
            <charset val="1"/>
          </rPr>
          <t xml:space="preserve">, Miltenberg
</t>
        </r>
        <r>
          <rPr>
            <u/>
            <sz val="8"/>
            <color indexed="81"/>
            <rFont val="Tahoma"/>
            <family val="2"/>
          </rPr>
          <t>Variante Kreuzeiche oberer Weg:</t>
        </r>
        <r>
          <rPr>
            <sz val="8"/>
            <color indexed="81"/>
            <rFont val="Tahoma"/>
            <family val="2"/>
          </rPr>
          <t xml:space="preserve"> 26,58 km 477 Hm
   </t>
        </r>
        <r>
          <rPr>
            <u/>
            <sz val="8"/>
            <color indexed="81"/>
            <rFont val="Tahoma"/>
            <family val="2"/>
          </rPr>
          <t>+ Rauschen:</t>
        </r>
        <r>
          <rPr>
            <sz val="8"/>
            <color indexed="81"/>
            <rFont val="Tahoma"/>
            <family val="2"/>
          </rPr>
          <t xml:space="preserve"> 26,9 km 482 Hm
</t>
        </r>
        <r>
          <rPr>
            <u/>
            <sz val="8"/>
            <color indexed="81"/>
            <rFont val="Tahoma"/>
            <family val="2"/>
          </rPr>
          <t>Variante Kreuzeiche unterer Weg:</t>
        </r>
        <r>
          <rPr>
            <sz val="8"/>
            <color indexed="81"/>
            <rFont val="Tahoma"/>
            <family val="2"/>
          </rPr>
          <t xml:space="preserve"> 27,12 km 511 Hm
</t>
        </r>
        <r>
          <rPr>
            <u/>
            <sz val="8"/>
            <color indexed="81"/>
            <rFont val="Tahoma"/>
            <family val="2"/>
          </rPr>
          <t>Minimal:</t>
        </r>
        <r>
          <rPr>
            <sz val="8"/>
            <color indexed="81"/>
            <rFont val="Tahoma"/>
            <family val="2"/>
          </rPr>
          <t xml:space="preserve"> Wiesenthal - Kreuzeiche - Rotes Bild - Steinkopf: 21,1 km 360 Hm
</t>
        </r>
        <r>
          <rPr>
            <u/>
            <sz val="8"/>
            <color indexed="81"/>
            <rFont val="Tahoma"/>
            <family val="2"/>
          </rPr>
          <t>Maximal:</t>
        </r>
        <r>
          <rPr>
            <sz val="8"/>
            <color indexed="81"/>
            <rFont val="Tahoma"/>
            <family val="2"/>
          </rPr>
          <t xml:space="preserve"> Siehe "Ohrenbach-Tosen"
Sonntag, 2013-12-22, 9 - 10 °C
Verkehr: Samstag früh "ideal"</t>
        </r>
      </text>
    </comment>
    <comment ref="D5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GPS und Höhendifferenz gemittelt</t>
        </r>
      </text>
    </comment>
    <comment ref="A6" authorId="0">
      <text>
        <r>
          <rPr>
            <sz val="9"/>
            <color indexed="81"/>
            <rFont val="Tahoma"/>
            <charset val="1"/>
          </rPr>
          <t xml:space="preserve">Kleinheubach, Großheubach, </t>
        </r>
        <r>
          <rPr>
            <i/>
            <sz val="9"/>
            <color indexed="81"/>
            <rFont val="Tahoma"/>
            <family val="2"/>
          </rPr>
          <t>Röllfeld (123 min),</t>
        </r>
        <r>
          <rPr>
            <sz val="9"/>
            <color indexed="81"/>
            <rFont val="Tahoma"/>
            <charset val="1"/>
          </rPr>
          <t xml:space="preserve"> Rollbach, Schmachtenberg, </t>
        </r>
        <r>
          <rPr>
            <b/>
            <sz val="9"/>
            <color indexed="81"/>
            <rFont val="Tahoma"/>
            <family val="2"/>
          </rPr>
          <t>Mechenhard (300 max),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 xml:space="preserve">Schippach-Pferdehof (195), </t>
        </r>
        <r>
          <rPr>
            <b/>
            <sz val="9"/>
            <color indexed="81"/>
            <rFont val="Tahoma"/>
            <family val="2"/>
          </rPr>
          <t>Streit (289),</t>
        </r>
        <r>
          <rPr>
            <sz val="9"/>
            <color indexed="81"/>
            <rFont val="Tahoma"/>
            <charset val="1"/>
          </rPr>
          <t xml:space="preserve"> Neuhof, </t>
        </r>
        <r>
          <rPr>
            <i/>
            <sz val="9"/>
            <color indexed="81"/>
            <rFont val="Tahoma"/>
            <family val="2"/>
          </rPr>
          <t>Eschau (160),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Mönchberg (255),</t>
        </r>
        <r>
          <rPr>
            <sz val="9"/>
            <color indexed="81"/>
            <rFont val="Tahoma"/>
            <charset val="1"/>
          </rPr>
          <t xml:space="preserve"> Röllbach, Großheubach, Kleinheubach</t>
        </r>
      </text>
    </comment>
    <comment ref="F6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Mechenhard Marienkapelle</t>
        </r>
      </text>
    </comment>
    <comment ref="A7" authorId="0">
      <text>
        <r>
          <rPr>
            <sz val="9"/>
            <color indexed="81"/>
            <rFont val="Tahoma"/>
            <charset val="1"/>
          </rPr>
          <t xml:space="preserve">Radweg Kleinheubach, Straße Großheubach, Rölbach, Mönchberg, </t>
        </r>
        <r>
          <rPr>
            <b/>
            <sz val="9"/>
            <color indexed="81"/>
            <rFont val="Tahoma"/>
            <family val="2"/>
          </rPr>
          <t>Geiersberg (512 max)</t>
        </r>
      </text>
    </comment>
    <comment ref="A8" authorId="2">
      <text>
        <r>
          <rPr>
            <sz val="9"/>
            <color indexed="81"/>
            <rFont val="Tahoma"/>
            <charset val="1"/>
          </rPr>
          <t>Über Großheubach und MR</t>
        </r>
      </text>
    </comment>
    <comment ref="A10" authorId="1">
      <text>
        <r>
          <rPr>
            <sz val="9"/>
            <color indexed="81"/>
            <rFont val="Tahoma"/>
            <charset val="1"/>
          </rPr>
          <t xml:space="preserve">Weckbach, Gönz, </t>
        </r>
        <r>
          <rPr>
            <b/>
            <sz val="9"/>
            <color indexed="81"/>
            <rFont val="Tahoma"/>
            <family val="2"/>
          </rPr>
          <t>Landesgrenze (504 max)</t>
        </r>
      </text>
    </comment>
    <comment ref="D10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Gemittelt: H(diff), H(gps)</t>
        </r>
      </text>
    </comment>
    <comment ref="A12" authorId="1">
      <text>
        <r>
          <rPr>
            <sz val="9"/>
            <color indexed="81"/>
            <rFont val="Tahoma"/>
            <charset val="1"/>
          </rPr>
          <t>Radweg bis Riedern; Zurück durch Miltenberg</t>
        </r>
      </text>
    </comment>
    <comment ref="F12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Kurz vor Guggenberg Landesgrenze BY:BW</t>
        </r>
      </text>
    </comment>
    <comment ref="A13" authorId="0">
      <text>
        <r>
          <rPr>
            <u/>
            <sz val="9"/>
            <color indexed="81"/>
            <rFont val="Tahoma"/>
            <family val="2"/>
          </rPr>
          <t>Neuer Normalweg!</t>
        </r>
        <r>
          <rPr>
            <sz val="9"/>
            <color indexed="81"/>
            <rFont val="Tahoma"/>
            <family val="2"/>
          </rPr>
          <t xml:space="preserve"> Maintal-Radweg bis Kleinheubach, Brücke, Kreisel Großheubach, Promilleweg, Mil-Nord, Martinsbrücke, MR, Mainmetall, Ampel, Raiffeisenring, Überführung, Sommerberg, Wenschdorf, </t>
        </r>
        <r>
          <rPr>
            <b/>
            <sz val="9"/>
            <color indexed="81"/>
            <rFont val="Tahoma"/>
            <family val="2"/>
          </rPr>
          <t>Kohlplatte</t>
        </r>
        <r>
          <rPr>
            <sz val="9"/>
            <color indexed="81"/>
            <rFont val="Tahoma"/>
            <family val="2"/>
          </rPr>
          <t xml:space="preserve"> (Sendeturm)</t>
        </r>
      </text>
    </comment>
    <comment ref="F13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Min Höhe 127</t>
        </r>
      </text>
    </comment>
    <comment ref="A14" authorId="1">
      <text>
        <r>
          <rPr>
            <sz val="10"/>
            <color indexed="81"/>
            <rFont val="Tahoma"/>
            <family val="2"/>
          </rPr>
          <t xml:space="preserve">Kleinheubach, Laudenbach, Brehmhof, </t>
        </r>
        <r>
          <rPr>
            <b/>
            <sz val="10"/>
            <color indexed="81"/>
            <rFont val="Tahoma"/>
            <family val="2"/>
          </rPr>
          <t>Eulbach (516 max)</t>
        </r>
        <r>
          <rPr>
            <sz val="10"/>
            <color indexed="81"/>
            <rFont val="Tahoma"/>
            <family val="2"/>
          </rPr>
          <t>, Boxbrunn, Weilbach</t>
        </r>
      </text>
    </comment>
    <comment ref="F14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Eulbach</t>
        </r>
      </text>
    </comment>
    <comment ref="A15" authorId="1">
      <text>
        <r>
          <rPr>
            <sz val="9"/>
            <color indexed="81"/>
            <rFont val="Tahoma"/>
            <family val="2"/>
          </rPr>
          <t>Radweg, MIL 1</t>
        </r>
      </text>
    </comment>
    <comment ref="A16" authorId="1">
      <text>
        <r>
          <rPr>
            <sz val="9"/>
            <color indexed="81"/>
            <rFont val="Tahoma"/>
            <charset val="1"/>
          </rPr>
          <t>Alte Ruhe, Lauseiche, Rauschen, Steinkopf
Mit Landelweg: 20,82 km; 473 Hm
Ohne Alte Ruhe: 19,0 km; 425 Hm</t>
        </r>
      </text>
    </comment>
    <comment ref="A17" authorId="1">
      <text>
        <r>
          <rPr>
            <sz val="9"/>
            <color indexed="81"/>
            <rFont val="Tahoma"/>
            <charset val="1"/>
          </rPr>
          <t>Springerquelle-Jogging-Runde im UZS bis Weichtal, dann wie Iron Hill</t>
        </r>
      </text>
    </comment>
    <comment ref="F17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Rüdernhöhe</t>
        </r>
      </text>
    </comment>
    <comment ref="A18" authorId="1">
      <text>
        <r>
          <rPr>
            <sz val="9"/>
            <color indexed="81"/>
            <rFont val="Tahoma"/>
            <charset val="1"/>
          </rPr>
          <t xml:space="preserve">Miltenberg - Pfohlbach: Radweg, Kaltenbrunn, Reinhardsachsen, </t>
        </r>
        <r>
          <rPr>
            <b/>
            <sz val="9"/>
            <color indexed="81"/>
            <rFont val="Tahoma"/>
            <family val="2"/>
          </rPr>
          <t>Kreuzung Gerolzahn (380 max)</t>
        </r>
        <r>
          <rPr>
            <sz val="9"/>
            <color indexed="81"/>
            <rFont val="Tahoma"/>
            <charset val="1"/>
          </rPr>
          <t>, Rippberg - Amorbach: Radweg, Weilbach, Miltenberg</t>
        </r>
      </text>
    </comment>
    <comment ref="F18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Gerolzahn</t>
        </r>
      </text>
    </comment>
    <comment ref="A19" authorId="0">
      <text>
        <r>
          <rPr>
            <sz val="9"/>
            <color indexed="81"/>
            <rFont val="Tahoma"/>
            <family val="2"/>
          </rPr>
          <t xml:space="preserve">Geißbuckel, Monbrunn, </t>
        </r>
        <r>
          <rPr>
            <b/>
            <sz val="9"/>
            <color indexed="81"/>
            <rFont val="Tahoma"/>
            <family val="2"/>
          </rPr>
          <t>Monbrunner Höhe (466 max)</t>
        </r>
        <r>
          <rPr>
            <sz val="9"/>
            <color indexed="81"/>
            <rFont val="Tahoma"/>
            <family val="2"/>
          </rPr>
          <t>, Wenschdorf, Passhöhe, Miltenberg, Bürgstadt, Überführung, Martinsbrücke, Großheubach, Kleinheubach</t>
        </r>
      </text>
    </comment>
    <comment ref="F19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466 Monbrunner Höhe (Straße)
[470 Wirtschaftsweg]</t>
        </r>
      </text>
    </comment>
    <comment ref="A20" authorId="0">
      <text>
        <r>
          <rPr>
            <sz val="9"/>
            <color indexed="81"/>
            <rFont val="Tahoma"/>
            <charset val="1"/>
          </rPr>
          <t xml:space="preserve">Breitendiel, Weilbach, Boxbrunn, </t>
        </r>
        <r>
          <rPr>
            <b/>
            <sz val="9"/>
            <color indexed="81"/>
            <rFont val="Tahoma"/>
            <family val="2"/>
          </rPr>
          <t>Bay.-Hess. Grenze (504 max)</t>
        </r>
      </text>
    </comment>
    <comment ref="A21" authorId="0">
      <text>
        <r>
          <rPr>
            <sz val="9"/>
            <color indexed="81"/>
            <rFont val="Tahoma"/>
            <charset val="1"/>
          </rPr>
          <t xml:space="preserve">Kleinheubach, Großheubach, Miltenberg, </t>
        </r>
        <r>
          <rPr>
            <i/>
            <sz val="9"/>
            <color indexed="81"/>
            <rFont val="Tahoma"/>
            <family val="2"/>
          </rPr>
          <t>Martinsbrücke,</t>
        </r>
        <r>
          <rPr>
            <sz val="9"/>
            <color indexed="81"/>
            <rFont val="Tahoma"/>
            <charset val="1"/>
          </rPr>
          <t xml:space="preserve"> Bürgstadt, </t>
        </r>
        <r>
          <rPr>
            <i/>
            <sz val="9"/>
            <color indexed="81"/>
            <rFont val="Tahoma"/>
            <family val="2"/>
          </rPr>
          <t>Überführung,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Geisenhof,</t>
        </r>
        <r>
          <rPr>
            <sz val="9"/>
            <color indexed="81"/>
            <rFont val="Tahoma"/>
            <charset val="1"/>
          </rPr>
          <t xml:space="preserve"> Reichartshausen, Neudorf, Amorbach, Weilbach, Breitendiel</t>
        </r>
      </text>
    </comment>
    <comment ref="A22" authorId="1">
      <text>
        <r>
          <rPr>
            <sz val="9"/>
            <color indexed="81"/>
            <rFont val="Tahoma"/>
            <charset val="1"/>
          </rPr>
          <t xml:space="preserve">Kleinheubach (130), Schützenhaus, Klinge (290), Rauschen (458), </t>
        </r>
        <r>
          <rPr>
            <b/>
            <sz val="9"/>
            <color indexed="81"/>
            <rFont val="Tahoma"/>
            <family val="2"/>
          </rPr>
          <t xml:space="preserve">Steinkopf (460 max)
</t>
        </r>
        <r>
          <rPr>
            <sz val="8"/>
            <color indexed="81"/>
            <rFont val="Tahoma"/>
            <family val="2"/>
          </rPr>
          <t>Über Lauseiche: 20,18 km
Über Vielbrunner Weg: 21,00 km 450 Hm (1:30)
Über Straße: 18,38 km 410 Hm (-&gt; Höllencross)</t>
        </r>
      </text>
    </comment>
    <comment ref="A23" authorId="0">
      <text>
        <r>
          <rPr>
            <u/>
            <sz val="9"/>
            <color indexed="81"/>
            <rFont val="Tahoma"/>
            <family val="2"/>
          </rPr>
          <t>Ohne Ortsberührung!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Geißbuckel (454),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Sendeturm (481 max),</t>
        </r>
        <r>
          <rPr>
            <sz val="9"/>
            <color indexed="81"/>
            <rFont val="Tahoma"/>
            <charset val="1"/>
          </rPr>
          <t xml:space="preserve"> Ringwall, Haagsaussicht, </t>
        </r>
        <r>
          <rPr>
            <b/>
            <sz val="9"/>
            <color indexed="81"/>
            <rFont val="Tahoma"/>
            <family val="2"/>
          </rPr>
          <t>Greinberg (452)</t>
        </r>
      </text>
    </comment>
    <comment ref="A24" authorId="0">
      <text>
        <r>
          <rPr>
            <sz val="9"/>
            <color indexed="81"/>
            <rFont val="Tahoma"/>
            <charset val="1"/>
          </rPr>
          <t>Radweg bis Eschau, Abzweigung Wildenstein</t>
        </r>
      </text>
    </comment>
    <comment ref="F24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Mönchberg</t>
        </r>
      </text>
    </comment>
    <comment ref="A25" authorId="1">
      <text>
        <r>
          <rPr>
            <sz val="9"/>
            <color indexed="81"/>
            <rFont val="Tahoma"/>
            <charset val="1"/>
          </rPr>
          <t>Engelsberg, Richtung Pfaffenbrunnen, Rühlesberg, Ospis, Hunnenstein</t>
        </r>
      </text>
    </comment>
    <comment ref="A26" authorId="1">
      <text>
        <r>
          <rPr>
            <sz val="9"/>
            <color indexed="81"/>
            <rFont val="Tahoma"/>
            <charset val="1"/>
          </rPr>
          <t xml:space="preserve">Nur Radweg, Cross: Amorbach - Buch
</t>
        </r>
        <r>
          <rPr>
            <sz val="8"/>
            <color indexed="81"/>
            <rFont val="Tahoma"/>
            <family val="2"/>
          </rPr>
          <t>Samstags 2014-04-05, 10 - 12 Uhr, 2:00 br., 15 °C, Bedeckt bis sehr leichter Regen
Viel Radverkehr</t>
        </r>
      </text>
    </comment>
    <comment ref="F26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Ünglert</t>
        </r>
      </text>
    </comment>
    <comment ref="A27" authorId="1">
      <text>
        <r>
          <rPr>
            <sz val="9"/>
            <color indexed="81"/>
            <rFont val="Tahoma"/>
            <family val="2"/>
          </rPr>
          <t xml:space="preserve">Natostraße, </t>
        </r>
        <r>
          <rPr>
            <b/>
            <sz val="9"/>
            <color indexed="81"/>
            <rFont val="Tahoma"/>
            <family val="2"/>
          </rPr>
          <t>Steinkopf (460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Rotes Bild (430)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Rauschen (456)</t>
        </r>
        <r>
          <rPr>
            <sz val="9"/>
            <color indexed="81"/>
            <rFont val="Tahoma"/>
            <family val="2"/>
          </rPr>
          <t xml:space="preserve">, Lauseiche, </t>
        </r>
        <r>
          <rPr>
            <i/>
            <sz val="9"/>
            <color indexed="81"/>
            <rFont val="Tahoma"/>
            <family val="2"/>
          </rPr>
          <t>Landesgrenze (400)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Bremhof-Pass (416)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Laudenbach (125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Kleinheubach Rü.-Str. (160)</t>
        </r>
      </text>
    </comment>
    <comment ref="D27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Trigonometrisch</t>
        </r>
      </text>
    </comment>
    <comment ref="A28" authorId="1">
      <text>
        <r>
          <rPr>
            <sz val="9"/>
            <color indexed="81"/>
            <rFont val="Tahoma"/>
            <family val="2"/>
          </rPr>
          <t>Wie Höllenritt nur über Straße und Rüdenau
Cross: Winnetal - Steinkopf
Über Radweg, alten Friedhof: 19,4 km</t>
        </r>
      </text>
    </comment>
    <comment ref="A29" authorId="0">
      <text>
        <r>
          <rPr>
            <sz val="9"/>
            <color indexed="81"/>
            <rFont val="Tahoma"/>
            <charset val="1"/>
          </rPr>
          <t xml:space="preserve">Kleinheubach, Laudenbach, Bremhof, </t>
        </r>
        <r>
          <rPr>
            <i/>
            <sz val="9"/>
            <color indexed="81"/>
            <rFont val="Tahoma"/>
            <family val="2"/>
          </rPr>
          <t>Kastell Hainhaus,</t>
        </r>
        <r>
          <rPr>
            <sz val="9"/>
            <color indexed="81"/>
            <rFont val="Tahoma"/>
            <charset val="1"/>
          </rPr>
          <t xml:space="preserve"> Kreuzung an der L3349 links, bis Schotterweg, </t>
        </r>
        <r>
          <rPr>
            <b/>
            <sz val="9"/>
            <color indexed="81"/>
            <rFont val="Tahoma"/>
            <family val="2"/>
          </rPr>
          <t>Limesturm (461 max),</t>
        </r>
        <r>
          <rPr>
            <sz val="9"/>
            <color indexed="81"/>
            <rFont val="Tahoma"/>
            <charset val="1"/>
          </rPr>
          <t xml:space="preserve"> Wendepunkt.</t>
        </r>
      </text>
    </comment>
    <comment ref="A30" authorId="1">
      <text>
        <r>
          <rPr>
            <sz val="9"/>
            <color indexed="81"/>
            <rFont val="Tahoma"/>
            <charset val="1"/>
          </rPr>
          <t>Breitendiel, Weilbach, Weckbach, Vielbrunn, Laudenbach, Kleinheubach
+ Nato: 45,01 km 702 Hm</t>
        </r>
      </text>
    </comment>
    <comment ref="D30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Barometrisch</t>
        </r>
      </text>
    </comment>
    <comment ref="A31" authorId="1">
      <text>
        <r>
          <rPr>
            <sz val="9"/>
            <color indexed="81"/>
            <rFont val="Tahoma"/>
            <family val="2"/>
          </rPr>
          <t>Miltenberg, Wenschdorf, Reichartshausen, Neudorf, Amorbach, Weilbach, Miltenberg</t>
        </r>
      </text>
    </comment>
    <comment ref="A32" authorId="1">
      <text>
        <r>
          <rPr>
            <b/>
            <u/>
            <sz val="9"/>
            <color indexed="81"/>
            <rFont val="Tahoma"/>
            <family val="2"/>
          </rPr>
          <t>Drei Hänge</t>
        </r>
        <r>
          <rPr>
            <sz val="9"/>
            <color indexed="81"/>
            <rFont val="Tahoma"/>
            <family val="2"/>
          </rPr>
          <t xml:space="preserve">
Radweg bis Aussiedlerhof zwischen Großheubach und Röllfeld</t>
        </r>
        <r>
          <rPr>
            <i/>
            <sz val="9"/>
            <color indexed="81"/>
            <rFont val="Tahoma"/>
            <family val="2"/>
          </rPr>
          <t xml:space="preserve"> (122 min)</t>
        </r>
        <r>
          <rPr>
            <sz val="9"/>
            <color indexed="81"/>
            <rFont val="Tahoma"/>
            <family val="2"/>
          </rPr>
          <t xml:space="preserve">, Lachental (schieben) über Bussigberg </t>
        </r>
        <r>
          <rPr>
            <b/>
            <sz val="9"/>
            <color indexed="81"/>
            <rFont val="Tahoma"/>
            <family val="2"/>
          </rPr>
          <t>(250)</t>
        </r>
        <r>
          <rPr>
            <sz val="9"/>
            <color indexed="81"/>
            <rFont val="Tahoma"/>
            <family val="2"/>
          </rPr>
          <t xml:space="preserve">, über Heubach </t>
        </r>
        <r>
          <rPr>
            <i/>
            <sz val="9"/>
            <color indexed="81"/>
            <rFont val="Tahoma"/>
            <family val="2"/>
          </rPr>
          <t>(143)</t>
        </r>
        <r>
          <rPr>
            <sz val="9"/>
            <color indexed="81"/>
            <rFont val="Tahoma"/>
            <family val="2"/>
          </rPr>
          <t xml:space="preserve"> und Engelsberg </t>
        </r>
        <r>
          <rPr>
            <b/>
            <sz val="9"/>
            <color indexed="81"/>
            <rFont val="Tahoma"/>
            <family val="2"/>
          </rPr>
          <t>(215)</t>
        </r>
        <r>
          <rPr>
            <sz val="9"/>
            <color indexed="81"/>
            <rFont val="Tahoma"/>
            <family val="2"/>
          </rPr>
          <t xml:space="preserve"> bis Promilleweg, Radweg bis Kleinheubach </t>
        </r>
        <r>
          <rPr>
            <i/>
            <sz val="9"/>
            <color indexed="81"/>
            <rFont val="Tahoma"/>
            <family val="2"/>
          </rPr>
          <t>(129)</t>
        </r>
        <r>
          <rPr>
            <sz val="9"/>
            <color indexed="81"/>
            <rFont val="Tahoma"/>
            <family val="2"/>
          </rPr>
          <t xml:space="preserve">, Am Bettler bis Springerquelle, Straße/Weg bis Heunensäulen </t>
        </r>
        <r>
          <rPr>
            <b/>
            <sz val="9"/>
            <color indexed="81"/>
            <rFont val="Tahoma"/>
            <family val="2"/>
          </rPr>
          <t>(290 max)</t>
        </r>
        <r>
          <rPr>
            <sz val="9"/>
            <color indexed="81"/>
            <rFont val="Tahoma"/>
            <family val="2"/>
          </rPr>
          <t xml:space="preserve">, Straße ab
</t>
        </r>
        <r>
          <rPr>
            <sz val="8"/>
            <color indexed="81"/>
            <rFont val="Tahoma"/>
            <family val="2"/>
          </rPr>
          <t>Sonntag 2015-04-26 9:15 - 11:00 ca. 15 °C bedeckt, relativ wenig los</t>
        </r>
      </text>
    </comment>
    <comment ref="F32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250 Bussigberg
290 Parkplatz Heunensäulen</t>
        </r>
      </text>
    </comment>
    <comment ref="A33" authorId="1">
      <text>
        <r>
          <rPr>
            <sz val="9"/>
            <color indexed="81"/>
            <rFont val="Tahoma"/>
            <charset val="1"/>
          </rPr>
          <t xml:space="preserve">Alter Normalweg durch Miltenberg </t>
        </r>
        <r>
          <rPr>
            <i/>
            <sz val="9"/>
            <color indexed="81"/>
            <rFont val="Tahoma"/>
            <family val="2"/>
          </rPr>
          <t>Brückenauffahrt (125 min)</t>
        </r>
        <r>
          <rPr>
            <sz val="9"/>
            <color indexed="81"/>
            <rFont val="Tahoma"/>
            <charset val="1"/>
          </rPr>
          <t xml:space="preserve"> bis </t>
        </r>
        <r>
          <rPr>
            <b/>
            <sz val="9"/>
            <color indexed="81"/>
            <rFont val="Tahoma"/>
            <family val="2"/>
          </rPr>
          <t>Wenschdorfer Turm (481 max)</t>
        </r>
      </text>
    </comment>
    <comment ref="D33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  356 (125..481)
+  44 (426..448) * 2
=400</t>
        </r>
      </text>
    </comment>
    <comment ref="A34" authorId="1">
      <text>
        <r>
          <rPr>
            <sz val="9"/>
            <color indexed="81"/>
            <rFont val="Tahoma"/>
            <charset val="1"/>
          </rPr>
          <t>Normalweg für MTB auf bestmöglichen Waldwegen (Hartungsweg)</t>
        </r>
      </text>
    </comment>
    <comment ref="A35" authorId="1">
      <text>
        <r>
          <rPr>
            <sz val="9"/>
            <color indexed="81"/>
            <rFont val="Tahoma"/>
            <charset val="1"/>
          </rPr>
          <t xml:space="preserve">Paradeismühle, Bussigberg, Gleitschirme, Kleinheubach, Heunensäulen
</t>
        </r>
        <r>
          <rPr>
            <sz val="8"/>
            <color indexed="81"/>
            <rFont val="Tahoma"/>
            <family val="2"/>
          </rPr>
          <t>Ohne Bussigberg: 30,7 km 320 Hm (FB)</t>
        </r>
      </text>
    </comment>
    <comment ref="D35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190 Normal
065 Bussigberg
130 Heunensäulen</t>
        </r>
      </text>
    </comment>
    <comment ref="F35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Bussigberg</t>
        </r>
      </text>
    </comment>
    <comment ref="A36" authorId="1">
      <text>
        <r>
          <rPr>
            <sz val="9"/>
            <color indexed="81"/>
            <rFont val="Tahoma"/>
            <charset val="1"/>
          </rPr>
          <t>Wiesenthaler Stein, Parkplatz, Gänsberg zurück
Mit Stutz: 16,7 km; 394 Hm</t>
        </r>
      </text>
    </comment>
    <comment ref="A37" authorId="0">
      <text>
        <r>
          <rPr>
            <sz val="9"/>
            <color indexed="81"/>
            <rFont val="Tahoma"/>
            <family val="2"/>
          </rPr>
          <t xml:space="preserve">Radweg bis B47, B47, </t>
        </r>
        <r>
          <rPr>
            <b/>
            <sz val="9"/>
            <color indexed="81"/>
            <rFont val="Tahoma"/>
            <family val="2"/>
          </rPr>
          <t>Wende Zweibild (495 max)</t>
        </r>
      </text>
    </comment>
    <comment ref="A38" authorId="0">
      <text>
        <r>
          <rPr>
            <sz val="9"/>
            <color indexed="81"/>
            <rFont val="Tahoma"/>
            <charset val="1"/>
          </rPr>
          <t xml:space="preserve">Kürzester Weg über Breitendiel, B469, Weilbach, vordere Hall, </t>
        </r>
        <r>
          <rPr>
            <b/>
            <sz val="9"/>
            <color indexed="81"/>
            <rFont val="Tahoma"/>
            <family val="2"/>
          </rPr>
          <t>Wende Neidhof (501 max)</t>
        </r>
      </text>
    </comment>
    <comment ref="A39" authorId="1">
      <text>
        <r>
          <rPr>
            <sz val="9"/>
            <color indexed="81"/>
            <rFont val="Tahoma"/>
            <family val="2"/>
          </rPr>
          <t xml:space="preserve">Großheubach, </t>
        </r>
        <r>
          <rPr>
            <i/>
            <sz val="9"/>
            <color indexed="81"/>
            <rFont val="Tahoma"/>
            <family val="2"/>
          </rPr>
          <t>Röllfeld (123 min)</t>
        </r>
        <r>
          <rPr>
            <sz val="9"/>
            <color indexed="81"/>
            <rFont val="Tahoma"/>
            <family val="2"/>
          </rPr>
          <t xml:space="preserve">, Röllbach, Schmachtenberg </t>
        </r>
        <r>
          <rPr>
            <b/>
            <sz val="9"/>
            <color indexed="81"/>
            <rFont val="Tahoma"/>
            <family val="2"/>
          </rPr>
          <t>(Bisch-Berg 300)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family val="2"/>
          </rPr>
          <t xml:space="preserve">, Mechenhard vorbei, </t>
        </r>
        <r>
          <rPr>
            <b/>
            <sz val="9"/>
            <color indexed="81"/>
            <rFont val="Tahoma"/>
            <family val="2"/>
          </rPr>
          <t>Streit (Galgenberg 315 max)</t>
        </r>
        <r>
          <rPr>
            <sz val="9"/>
            <color indexed="81"/>
            <rFont val="Tahoma"/>
            <family val="2"/>
          </rPr>
          <t>, Sankt Wendelinuskapelle, Mönchberg vorbei , Röllbach, Großheubach</t>
        </r>
      </text>
    </comment>
    <comment ref="A40" authorId="2">
      <text>
        <r>
          <rPr>
            <sz val="9"/>
            <color indexed="81"/>
            <rFont val="Tahoma"/>
            <family val="2"/>
          </rPr>
          <t xml:space="preserve">Rüdenau, Geyersmühle, Gönz, Amorbach, Reuenthal
</t>
        </r>
        <r>
          <rPr>
            <sz val="8"/>
            <color indexed="81"/>
            <rFont val="Tahoma"/>
            <family val="2"/>
          </rPr>
          <t>2020-04-01, 8 - 10 °C, Wind, Sonnig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1" authorId="1">
      <text>
        <r>
          <rPr>
            <sz val="9"/>
            <color indexed="81"/>
            <rFont val="Tahoma"/>
            <charset val="1"/>
          </rPr>
          <t xml:space="preserve">Laurentiusbrücke, Siedlung, zwei Mil 1 Schiebepassagen, </t>
        </r>
        <r>
          <rPr>
            <b/>
            <sz val="9"/>
            <color indexed="81"/>
            <rFont val="Tahoma"/>
            <family val="2"/>
          </rPr>
          <t>Greinberg (452 max)</t>
        </r>
        <r>
          <rPr>
            <sz val="9"/>
            <color indexed="81"/>
            <rFont val="Tahoma"/>
            <charset val="1"/>
          </rPr>
          <t>, normal ab</t>
        </r>
      </text>
    </comment>
    <comment ref="A42" authorId="1">
      <text>
        <r>
          <rPr>
            <i/>
            <sz val="9"/>
            <color indexed="81"/>
            <rFont val="Tahoma"/>
            <family val="2"/>
          </rPr>
          <t>Miltenberg (130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Geyersmühle (270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Weckbach (170)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Gönz (255)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Weilbach (140)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Reuenthal (205)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Breitendiel (131)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Rüdenau (190)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>Samstag 2015-07-18, 8:00 - 10:00, 20 - 25 °C, Nach Gewitter
Samstag 2019-07-20, 9:40 - 11:40, 21 - 25 °C, Sonnig</t>
        </r>
      </text>
    </comment>
    <comment ref="F42" authorId="1">
      <text>
        <r>
          <rPr>
            <b/>
            <u/>
            <sz val="9"/>
            <color indexed="81"/>
            <rFont val="Tahoma"/>
            <family val="2"/>
          </rPr>
          <t>4 leichte Anstiege</t>
        </r>
        <r>
          <rPr>
            <sz val="9"/>
            <color indexed="81"/>
            <rFont val="Tahoma"/>
            <family val="2"/>
          </rPr>
          <t xml:space="preserve">
140 Miltenberg - Geyersmühle
085 Weckbach - Gönz
065 Weilbach - Reuenthal
060 Breitendiel - Rüdenau</t>
        </r>
      </text>
    </comment>
    <comment ref="A43" authorId="1">
      <text>
        <r>
          <rPr>
            <sz val="9"/>
            <color indexed="81"/>
            <rFont val="Tahoma"/>
            <charset val="1"/>
          </rPr>
          <t>Über Furchäcker 21,3 km; 365 Hm</t>
        </r>
      </text>
    </comment>
    <comment ref="A44" authorId="1">
      <text>
        <r>
          <rPr>
            <sz val="9"/>
            <color indexed="81"/>
            <rFont val="Tahoma"/>
            <charset val="1"/>
          </rPr>
          <t>Über Mil 1 und Steinbruch</t>
        </r>
      </text>
    </comment>
    <comment ref="A45" authorId="0">
      <text>
        <r>
          <rPr>
            <u/>
            <sz val="9"/>
            <color indexed="81"/>
            <rFont val="Tahoma"/>
            <family val="2"/>
          </rPr>
          <t>Ohne Ortsberührung!</t>
        </r>
        <r>
          <rPr>
            <sz val="9"/>
            <color indexed="81"/>
            <rFont val="Tahoma"/>
            <charset val="1"/>
          </rPr>
          <t xml:space="preserve"> Springerquelle, Rotes Bild, Ernstbrunnen, Springerquelle</t>
        </r>
      </text>
    </comment>
    <comment ref="F45" authorId="0">
      <text>
        <r>
          <rPr>
            <sz val="9"/>
            <color indexed="81"/>
            <rFont val="Tahoma"/>
            <charset val="1"/>
          </rPr>
          <t>Rotes Bild</t>
        </r>
      </text>
    </comment>
    <comment ref="A46" authorId="0">
      <text>
        <r>
          <rPr>
            <sz val="9"/>
            <color indexed="81"/>
            <rFont val="Tahoma"/>
            <charset val="1"/>
          </rPr>
          <t xml:space="preserve">Über Steinbruch - bis 2007 fahrbar, heute schieben
Seit Entree 2019 gesperrt </t>
        </r>
      </text>
    </comment>
    <comment ref="A47" authorId="1">
      <text>
        <r>
          <rPr>
            <sz val="9"/>
            <color indexed="81"/>
            <rFont val="Tahoma"/>
            <family val="2"/>
          </rPr>
          <t xml:space="preserve">Normalweg Wiesenthaler Stein, </t>
        </r>
        <r>
          <rPr>
            <b/>
            <sz val="9"/>
            <color indexed="81"/>
            <rFont val="Tahoma"/>
            <family val="2"/>
          </rPr>
          <t>Weilbachkopf (429 max)</t>
        </r>
        <r>
          <rPr>
            <sz val="9"/>
            <color indexed="81"/>
            <rFont val="Tahoma"/>
            <family val="2"/>
          </rPr>
          <t xml:space="preserve">, Sendeturm Weilbach ab
</t>
        </r>
        <r>
          <rPr>
            <sz val="8"/>
            <color indexed="81"/>
            <rFont val="Tahoma"/>
            <family val="2"/>
          </rPr>
          <t xml:space="preserve">Variante: Saustallbrunnen - Rüdernhöhe - </t>
        </r>
        <r>
          <rPr>
            <b/>
            <sz val="8"/>
            <color indexed="81"/>
            <rFont val="Tahoma"/>
            <family val="2"/>
          </rPr>
          <t>Weilbachkopf (429 max)</t>
        </r>
        <r>
          <rPr>
            <sz val="8"/>
            <color indexed="81"/>
            <rFont val="Tahoma"/>
            <family val="2"/>
          </rPr>
          <t xml:space="preserve"> - Normalweg ab: 10,6 km; 350 Hm
Variante: Saustallbrunnen - </t>
        </r>
        <r>
          <rPr>
            <b/>
            <sz val="8"/>
            <color indexed="81"/>
            <rFont val="Tahoma"/>
            <family val="2"/>
          </rPr>
          <t>Rüdernhöhe (418 max)</t>
        </r>
        <r>
          <rPr>
            <sz val="8"/>
            <color indexed="81"/>
            <rFont val="Tahoma"/>
            <family val="2"/>
          </rPr>
          <t xml:space="preserve"> - Weichtal - Sendeturm ab: 12,6 km; 350 Hm
Variante: Springerquelle - </t>
        </r>
        <r>
          <rPr>
            <b/>
            <sz val="8"/>
            <color indexed="81"/>
            <rFont val="Tahoma"/>
            <family val="2"/>
          </rPr>
          <t>Weilbachkopf (429 max)</t>
        </r>
        <r>
          <rPr>
            <sz val="8"/>
            <color indexed="81"/>
            <rFont val="Tahoma"/>
            <family val="2"/>
          </rPr>
          <t xml:space="preserve"> - Normalweg ab: 10,0 km; 340 Hm</t>
        </r>
      </text>
    </comment>
    <comment ref="F47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429 Weilbachkopf
418 Rüdernhöhe</t>
        </r>
      </text>
    </comment>
    <comment ref="A48" authorId="1">
      <text>
        <r>
          <rPr>
            <b/>
            <u/>
            <sz val="9"/>
            <color indexed="81"/>
            <rFont val="Tahoma"/>
            <family val="2"/>
          </rPr>
          <t>Rennrad-Relaxed</t>
        </r>
        <r>
          <rPr>
            <sz val="9"/>
            <color indexed="81"/>
            <rFont val="Tahoma"/>
            <charset val="1"/>
          </rPr>
          <t xml:space="preserve">
Breitendiel, Weilbach, Amorbach, Schneeberg, Zittenfelden, Hettigenbeuern, Buchen erste Kreuzung
</t>
        </r>
        <r>
          <rPr>
            <sz val="8"/>
            <color indexed="81"/>
            <rFont val="Tahoma"/>
            <family val="2"/>
          </rPr>
          <t>So. 2015-04-12 10:15 - 12:15 13 - 16 °C überwiegend bewölkt
Sa. 2018-07-21 07:00 - 08:50 20 - 23 °C bedeckt</t>
        </r>
      </text>
    </comment>
    <comment ref="F48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Buchen erste Kreuzung</t>
        </r>
      </text>
    </comment>
  </commentList>
</comments>
</file>

<file path=xl/comments5.xml><?xml version="1.0" encoding="utf-8"?>
<comments xmlns="http://schemas.openxmlformats.org/spreadsheetml/2006/main">
  <authors>
    <author>FAN</author>
    <author>fan</author>
    <author>HP</author>
  </authors>
  <commentList>
    <comment ref="D1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&gt;= 500 &lt; 750</t>
        </r>
      </text>
    </comment>
    <comment ref="F1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G1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Maximaler durchgehender Anstieg</t>
        </r>
      </text>
    </comment>
    <comment ref="A2" authorId="0">
      <text>
        <r>
          <rPr>
            <sz val="9"/>
            <color indexed="81"/>
            <rFont val="Tahoma"/>
            <family val="2"/>
          </rPr>
          <t xml:space="preserve">Kleinheubach, Großheubach, Röllbach,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Eschau (160)</t>
        </r>
        <r>
          <rPr>
            <sz val="9"/>
            <color indexed="81"/>
            <rFont val="Tahoma"/>
            <family val="2"/>
          </rPr>
          <t xml:space="preserve">, Sommerau, Hobbach, Neuhammer, Wintersbach, </t>
        </r>
        <r>
          <rPr>
            <b/>
            <sz val="9"/>
            <color indexed="81"/>
            <rFont val="Tahoma"/>
            <family val="2"/>
          </rPr>
          <t>Geishöhe (Sendeturm 521 max)</t>
        </r>
        <r>
          <rPr>
            <sz val="9"/>
            <color indexed="81"/>
            <rFont val="Tahoma"/>
            <family val="2"/>
          </rPr>
          <t xml:space="preserve">, …, </t>
        </r>
        <r>
          <rPr>
            <i/>
            <sz val="9"/>
            <color indexed="81"/>
            <rFont val="Tahoma"/>
            <family val="2"/>
          </rPr>
          <t>Eschau (160)</t>
        </r>
        <r>
          <rPr>
            <sz val="9"/>
            <color indexed="81"/>
            <rFont val="Tahoma"/>
            <family val="2"/>
          </rPr>
          <t xml:space="preserve">, Neuhof, </t>
        </r>
        <r>
          <rPr>
            <b/>
            <sz val="9"/>
            <color indexed="81"/>
            <rFont val="Tahoma"/>
            <family val="2"/>
          </rPr>
          <t>Streit (311)</t>
        </r>
        <r>
          <rPr>
            <sz val="9"/>
            <color indexed="81"/>
            <rFont val="Tahoma"/>
            <family val="2"/>
          </rPr>
          <t>, Schmachtenberg, Röllbach, …</t>
        </r>
      </text>
    </comment>
    <comment ref="G2" authorId="0">
      <text>
        <r>
          <rPr>
            <sz val="9"/>
            <color indexed="81"/>
            <rFont val="Tahoma"/>
            <family val="2"/>
          </rPr>
          <t>Wintersbach - Geißhöhe</t>
        </r>
      </text>
    </comment>
    <comment ref="A3" authorId="1">
      <text>
        <r>
          <rPr>
            <sz val="9"/>
            <color indexed="81"/>
            <rFont val="Tahoma"/>
            <family val="2"/>
          </rPr>
          <t xml:space="preserve">Kleinheubach, </t>
        </r>
        <r>
          <rPr>
            <i/>
            <sz val="9"/>
            <color indexed="81"/>
            <rFont val="Tahoma"/>
            <family val="2"/>
          </rPr>
          <t>Laudenbach (125 min)</t>
        </r>
        <r>
          <rPr>
            <sz val="9"/>
            <color indexed="81"/>
            <rFont val="Tahoma"/>
            <family val="2"/>
          </rPr>
          <t xml:space="preserve">, Bremhof, </t>
        </r>
        <r>
          <rPr>
            <b/>
            <sz val="9"/>
            <color indexed="81"/>
            <rFont val="Tahoma"/>
            <family val="2"/>
          </rPr>
          <t>Hainhaus (457 max)</t>
        </r>
        <r>
          <rPr>
            <sz val="9"/>
            <color indexed="81"/>
            <rFont val="Tahoma"/>
            <family val="2"/>
          </rPr>
          <t xml:space="preserve">, Breitenbrunn, Mühlhausen, </t>
        </r>
        <r>
          <rPr>
            <i/>
            <sz val="9"/>
            <color indexed="81"/>
            <rFont val="Tahoma"/>
            <family val="2"/>
          </rPr>
          <t>Rai-Breitenbach (150)</t>
        </r>
        <r>
          <rPr>
            <sz val="9"/>
            <color indexed="81"/>
            <rFont val="Tahoma"/>
            <family val="2"/>
          </rPr>
          <t xml:space="preserve"> &amp; retour</t>
        </r>
      </text>
    </comment>
    <comment ref="F3" authorId="1">
      <text>
        <r>
          <rPr>
            <sz val="9"/>
            <color indexed="81"/>
            <rFont val="Tahoma"/>
            <charset val="1"/>
          </rPr>
          <t>Kastell Hainhaus</t>
        </r>
      </text>
    </comment>
    <comment ref="G3" authorId="1">
      <text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charset val="1"/>
          </rPr>
          <t xml:space="preserve">
332 Laudenbach - Hainhaus
307 Breitenbach - Hainhaus</t>
        </r>
      </text>
    </comment>
    <comment ref="A4" authorId="0">
      <text>
        <r>
          <rPr>
            <sz val="9"/>
            <color indexed="81"/>
            <rFont val="Tahoma"/>
            <charset val="1"/>
          </rPr>
          <t xml:space="preserve">Miltenberg, </t>
        </r>
        <r>
          <rPr>
            <b/>
            <sz val="9"/>
            <color indexed="81"/>
            <rFont val="Tahoma"/>
            <family val="2"/>
          </rPr>
          <t>Wenschdorf (455)</t>
        </r>
        <r>
          <rPr>
            <sz val="9"/>
            <color indexed="81"/>
            <rFont val="Tahoma"/>
            <charset val="1"/>
          </rPr>
          <t xml:space="preserve">, Reichartshausen, Neudorf, Amorbach, Weilbach, </t>
        </r>
        <r>
          <rPr>
            <i/>
            <sz val="9"/>
            <color indexed="81"/>
            <rFont val="Tahoma"/>
            <family val="2"/>
          </rPr>
          <t>Mud (140)</t>
        </r>
        <r>
          <rPr>
            <sz val="9"/>
            <color indexed="81"/>
            <rFont val="Tahoma"/>
            <charset val="1"/>
          </rPr>
          <t xml:space="preserve">, Weckbach, </t>
        </r>
        <r>
          <rPr>
            <i/>
            <sz val="9"/>
            <color indexed="81"/>
            <rFont val="Tahoma"/>
            <family val="2"/>
          </rPr>
          <t>Ohrnbachtal,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Vielbrunn (461 max)</t>
        </r>
        <r>
          <rPr>
            <sz val="9"/>
            <color indexed="81"/>
            <rFont val="Tahoma"/>
            <family val="2"/>
          </rPr>
          <t xml:space="preserve">, Hainhaus, Bremhof,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>, Kleinheubach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family val="2"/>
          </rPr>
          <t xml:space="preserve">
323 Miltenberg - Wenschdorf
321 Weilbach - Vielbrunn</t>
        </r>
      </text>
    </comment>
    <comment ref="A5" authorId="1">
      <text>
        <r>
          <rPr>
            <b/>
            <u/>
            <sz val="9"/>
            <color indexed="81"/>
            <rFont val="Tahoma"/>
            <family val="2"/>
          </rPr>
          <t>Limespfeil "Wild" - Siedlungsvermeidend</t>
        </r>
        <r>
          <rPr>
            <sz val="9"/>
            <color indexed="81"/>
            <rFont val="Tahoma"/>
            <charset val="1"/>
          </rPr>
          <t xml:space="preserve">
Laudenbach "Wellig" </t>
        </r>
        <r>
          <rPr>
            <i/>
            <sz val="9"/>
            <color indexed="81"/>
            <rFont val="Tahoma"/>
            <family val="2"/>
          </rPr>
          <t>(125 min)</t>
        </r>
        <r>
          <rPr>
            <sz val="9"/>
            <color indexed="81"/>
            <rFont val="Tahoma"/>
            <charset val="1"/>
          </rPr>
          <t xml:space="preserve">, Bremhof, </t>
        </r>
        <r>
          <rPr>
            <b/>
            <sz val="9"/>
            <color indexed="81"/>
            <rFont val="Tahoma"/>
            <family val="2"/>
          </rPr>
          <t>Hainhaus (459)</t>
        </r>
        <r>
          <rPr>
            <sz val="9"/>
            <color indexed="81"/>
            <rFont val="Tahoma"/>
            <charset val="1"/>
          </rPr>
          <t xml:space="preserve">, Wende </t>
        </r>
        <r>
          <rPr>
            <i/>
            <sz val="9"/>
            <color indexed="81"/>
            <rFont val="Tahoma"/>
            <family val="2"/>
          </rPr>
          <t>Windlücke (340)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Limesturm (461)</t>
        </r>
        <r>
          <rPr>
            <sz val="9"/>
            <color indexed="81"/>
            <rFont val="Tahoma"/>
            <charset val="1"/>
          </rPr>
          <t xml:space="preserve">, Wende Kimbach </t>
        </r>
        <r>
          <rPr>
            <i/>
            <sz val="9"/>
            <color indexed="81"/>
            <rFont val="Tahoma"/>
            <family val="2"/>
          </rPr>
          <t>Friedhof (370)</t>
        </r>
        <r>
          <rPr>
            <sz val="9"/>
            <color indexed="81"/>
            <rFont val="Tahoma"/>
            <charset val="1"/>
          </rPr>
          <t xml:space="preserve">, Vielbrunn, Wende Parkplatz vor </t>
        </r>
        <r>
          <rPr>
            <b/>
            <sz val="9"/>
            <color indexed="81"/>
            <rFont val="Tahoma"/>
            <family val="2"/>
          </rPr>
          <t>Eulbach (505 max)</t>
        </r>
        <r>
          <rPr>
            <sz val="9"/>
            <color indexed="81"/>
            <rFont val="Tahoma"/>
            <charset val="1"/>
          </rPr>
          <t xml:space="preserve">, Vielbrunn, Bremhof &amp; retour
</t>
        </r>
        <r>
          <rPr>
            <sz val="8"/>
            <color indexed="81"/>
            <rFont val="Tahoma"/>
            <family val="2"/>
          </rPr>
          <t>Samstag 2016-08-27, 9:00 - 11:30 (2:30 br.), 20 - 28 °C, Sonnig, 1.5ℓ</t>
        </r>
      </text>
    </comment>
    <comment ref="A6" authorId="0">
      <text>
        <r>
          <rPr>
            <u/>
            <sz val="9"/>
            <color indexed="81"/>
            <rFont val="Tahoma"/>
            <family val="2"/>
          </rPr>
          <t>Keine Ortsberührungen, keine Rodungen, nur Waldwege!</t>
        </r>
        <r>
          <rPr>
            <sz val="9"/>
            <color indexed="81"/>
            <rFont val="Tahoma"/>
            <charset val="1"/>
          </rPr>
          <t xml:space="preserve"> Springerquelle, rotes Bild, Aspenweg, Winnetal, Lattberg, Scheuerbusch, Lauseiche, am roten Bild rechts ab, Ernstbrunnen, Schutzhütte, Weichtal, Weilbachkopf, Springerquelle</t>
        </r>
      </text>
    </comment>
    <comment ref="F6" authorId="0">
      <text>
        <r>
          <rPr>
            <sz val="9"/>
            <color indexed="81"/>
            <rFont val="Tahoma"/>
            <charset val="1"/>
          </rPr>
          <t>Rauschen</t>
        </r>
      </text>
    </comment>
    <comment ref="G6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charset val="1"/>
          </rPr>
          <t xml:space="preserve">
300 Miltenberg - Rotes Bild
170 Winnegraben - Rauschen
130 Weichtal - Weilbachkopf</t>
        </r>
      </text>
    </comment>
    <comment ref="A7" authorId="0">
      <text>
        <r>
          <rPr>
            <sz val="9"/>
            <color indexed="81"/>
            <rFont val="Tahoma"/>
            <charset val="1"/>
          </rPr>
          <t xml:space="preserve">Kleinheubach, Großheubach, Bürgstadt, Eichenbühl, </t>
        </r>
        <r>
          <rPr>
            <b/>
            <sz val="9"/>
            <color indexed="81"/>
            <rFont val="Tahoma"/>
            <family val="2"/>
          </rPr>
          <t>Neunkirchen (364)</t>
        </r>
        <r>
          <rPr>
            <i/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Richelbach, Riedern,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charset val="1"/>
          </rPr>
          <t xml:space="preserve">, Kaltenbrunn, Reinhardsachsen, Glashofen, </t>
        </r>
        <r>
          <rPr>
            <b/>
            <sz val="9"/>
            <color indexed="81"/>
            <rFont val="Tahoma"/>
            <family val="2"/>
          </rPr>
          <t>Neusaß (448 max)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L518 (374)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Geisenhof (447)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Reichartshausen, Neudorf, Amorbach, Weilbach, Breitendiel</t>
        </r>
      </text>
    </comment>
    <comment ref="F7" authorId="0">
      <text>
        <r>
          <rPr>
            <sz val="9"/>
            <color indexed="81"/>
            <rFont val="Tahoma"/>
            <family val="2"/>
          </rPr>
          <t>Neusaß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Eichenbühl - Neunkirchen</t>
        </r>
      </text>
    </comment>
    <comment ref="A8" authorId="1">
      <text>
        <r>
          <rPr>
            <sz val="9"/>
            <color indexed="81"/>
            <rFont val="Tahoma"/>
            <family val="2"/>
          </rPr>
          <t xml:space="preserve">Miltenberg - Riedern: Radweg </t>
        </r>
        <r>
          <rPr>
            <i/>
            <sz val="9"/>
            <color indexed="81"/>
            <rFont val="Tahoma"/>
            <family val="2"/>
          </rPr>
          <t>(128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Guggenberg Landesgrenze (406)</t>
        </r>
        <r>
          <rPr>
            <sz val="9"/>
            <color indexed="81"/>
            <rFont val="Tahoma"/>
            <family val="2"/>
          </rPr>
          <t xml:space="preserve">, Rütschdorf, Dornberg, Schlempertshof, </t>
        </r>
        <r>
          <rPr>
            <i/>
            <sz val="9"/>
            <color indexed="81"/>
            <rFont val="Tahoma"/>
            <family val="2"/>
          </rPr>
          <t>Lochbach (350)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8"/>
            <color indexed="81"/>
            <rFont val="Tahoma"/>
            <family val="2"/>
          </rPr>
          <t>Höpfingen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Hohe Buche (440 max)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Glashofen, Neusaß, Gerolzahn, Rippberg, Schneeberg, Amorbach, Weilbach, Breitendiel
</t>
        </r>
        <r>
          <rPr>
            <sz val="8"/>
            <color indexed="81"/>
            <rFont val="Tahoma"/>
            <family val="2"/>
          </rPr>
          <t>Montag 2013-09-02, 9:40 - 12:10 (2:30 brutto, 7 min Pause) 17 - 20 °C</t>
        </r>
      </text>
    </comment>
    <comment ref="D8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Gemittelt</t>
        </r>
      </text>
    </comment>
    <comment ref="F8" authorId="1">
      <text>
        <r>
          <rPr>
            <sz val="9"/>
            <color indexed="81"/>
            <rFont val="Tahoma"/>
            <charset val="1"/>
          </rPr>
          <t>Hohe Buche</t>
        </r>
      </text>
    </comment>
    <comment ref="G8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Hauptanstiege, viele Wellen</t>
        </r>
        <r>
          <rPr>
            <sz val="9"/>
            <color indexed="81"/>
            <rFont val="Tahoma"/>
            <charset val="1"/>
          </rPr>
          <t xml:space="preserve">
278 Miltenberg - Guggenberg
090 Lochbach - Hohe Buche</t>
        </r>
      </text>
    </comment>
    <comment ref="A9" authorId="1">
      <text>
        <r>
          <rPr>
            <sz val="9"/>
            <color indexed="81"/>
            <rFont val="Tahoma"/>
            <charset val="1"/>
          </rPr>
          <t xml:space="preserve">Am Bettler, Schützenhaus, Kühruhbrunnen, Martinsblick, Schindgraben, Molkengraben, Maurusweg (400), vor Kreuzeiche </t>
        </r>
        <r>
          <rPr>
            <b/>
            <sz val="9"/>
            <color indexed="81"/>
            <rFont val="Tahoma"/>
            <family val="2"/>
          </rPr>
          <t>(420 max)</t>
        </r>
        <r>
          <rPr>
            <sz val="9"/>
            <color indexed="81"/>
            <rFont val="Tahoma"/>
            <charset val="1"/>
          </rPr>
          <t xml:space="preserve">, Ernstbrunnen, Weichtal, Breitendieler Grund
</t>
        </r>
        <r>
          <rPr>
            <sz val="8"/>
            <color indexed="81"/>
            <rFont val="Tahoma"/>
            <family val="2"/>
          </rPr>
          <t>Sonntag, 2014-11-09, 14:00 - 16:00, 8-10°C, trocken, teilweise sonnig
Variante: Farnsbrunnen (Ohrnbachtal-Hessen, unterer Weg Kreuzeiche, Rotbild, Weilbachkopfweg) 30,8 km gleiche Hm</t>
        </r>
      </text>
    </comment>
    <comment ref="G9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Klassiker-Profil</t>
        </r>
      </text>
    </comment>
    <comment ref="A10" authorId="1">
      <text>
        <r>
          <rPr>
            <sz val="9"/>
            <color indexed="81"/>
            <rFont val="Tahoma"/>
            <family val="2"/>
          </rPr>
          <t xml:space="preserve">Miltenberg - Ünglert: Radweg
Buch - Kirchzell: Radweg
Kirchzell - Watterbach: Straße
Watterbach - Schrahof: Nebenstraße
Wendepunkt: Abzweig nach Boxbrunn
</t>
        </r>
        <r>
          <rPr>
            <sz val="8"/>
            <color indexed="81"/>
            <rFont val="Tahoma"/>
            <family val="2"/>
          </rPr>
          <t>Sonntags viel Radverkehr</t>
        </r>
      </text>
    </comment>
    <comment ref="F10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Ünglert</t>
        </r>
      </text>
    </comment>
    <comment ref="G10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charset val="1"/>
          </rPr>
          <t xml:space="preserve">
222 Buch - Ünglert
131 Buch - Schrahof</t>
        </r>
      </text>
    </comment>
    <comment ref="A11" authorId="1">
      <text>
        <r>
          <rPr>
            <sz val="9"/>
            <color indexed="81"/>
            <rFont val="Tahoma"/>
            <charset val="1"/>
          </rPr>
          <t xml:space="preserve">Kleinheubach, Großheubach, Miltenberg, </t>
        </r>
        <r>
          <rPr>
            <i/>
            <sz val="9"/>
            <color indexed="81"/>
            <rFont val="Tahoma"/>
            <family val="2"/>
          </rPr>
          <t>Martinsbrücke (127)</t>
        </r>
        <r>
          <rPr>
            <sz val="9"/>
            <color indexed="81"/>
            <rFont val="Tahoma"/>
            <charset val="1"/>
          </rPr>
          <t>, Bürgstadt, Kreisel, Sommerberg, Wenschdorf (</t>
        </r>
        <r>
          <rPr>
            <b/>
            <sz val="9"/>
            <color indexed="81"/>
            <rFont val="Tahoma"/>
            <family val="2"/>
          </rPr>
          <t>448</t>
        </r>
        <r>
          <rPr>
            <sz val="9"/>
            <color indexed="81"/>
            <rFont val="Tahoma"/>
            <charset val="1"/>
          </rPr>
          <t>/</t>
        </r>
        <r>
          <rPr>
            <i/>
            <sz val="9"/>
            <color indexed="81"/>
            <rFont val="Tahoma"/>
            <family val="2"/>
          </rPr>
          <t>426</t>
        </r>
        <r>
          <rPr>
            <sz val="9"/>
            <color indexed="81"/>
            <rFont val="Tahoma"/>
            <charset val="1"/>
          </rPr>
          <t xml:space="preserve">), </t>
        </r>
        <r>
          <rPr>
            <sz val="9"/>
            <color indexed="81"/>
            <rFont val="Tahoma"/>
            <family val="2"/>
          </rPr>
          <t>Kohlplatte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Tahoma"/>
            <family val="2"/>
          </rPr>
          <t>481</t>
        </r>
        <r>
          <rPr>
            <sz val="9"/>
            <color indexed="81"/>
            <rFont val="Tahoma"/>
            <family val="2"/>
          </rPr>
          <t>/</t>
        </r>
        <r>
          <rPr>
            <i/>
            <sz val="9"/>
            <color indexed="81"/>
            <rFont val="Tahoma"/>
            <family val="2"/>
          </rPr>
          <t>426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Monbrunner Höhe (470)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Wende Monbrunn Ortsende (387)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Geisbuckel </t>
        </r>
        <r>
          <rPr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Tahoma"/>
            <family val="2"/>
          </rPr>
          <t>450</t>
        </r>
        <r>
          <rPr>
            <sz val="9"/>
            <color indexed="81"/>
            <rFont val="Tahoma"/>
            <family val="2"/>
          </rPr>
          <t>/</t>
        </r>
        <r>
          <rPr>
            <i/>
            <sz val="9"/>
            <color indexed="81"/>
            <rFont val="Tahoma"/>
            <family val="2"/>
          </rPr>
          <t>410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Monbrunner Höhe (</t>
        </r>
        <r>
          <rPr>
            <b/>
            <sz val="9"/>
            <color indexed="81"/>
            <rFont val="Tahoma"/>
            <family val="2"/>
          </rPr>
          <t>470</t>
        </r>
        <r>
          <rPr>
            <sz val="9"/>
            <color indexed="81"/>
            <rFont val="Tahoma"/>
            <family val="2"/>
          </rPr>
          <t>/</t>
        </r>
        <r>
          <rPr>
            <i/>
            <sz val="9"/>
            <color indexed="81"/>
            <rFont val="Tahoma"/>
            <family val="2"/>
          </rPr>
          <t>426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charset val="1"/>
          </rPr>
          <t>, Kohlplatte (</t>
        </r>
        <r>
          <rPr>
            <b/>
            <sz val="9"/>
            <color indexed="81"/>
            <rFont val="Tahoma"/>
            <family val="2"/>
          </rPr>
          <t>481</t>
        </r>
        <r>
          <rPr>
            <sz val="9"/>
            <color indexed="81"/>
            <rFont val="Tahoma"/>
            <charset val="1"/>
          </rPr>
          <t>/</t>
        </r>
        <r>
          <rPr>
            <i/>
            <sz val="9"/>
            <color indexed="81"/>
            <rFont val="Tahoma"/>
            <family val="2"/>
          </rPr>
          <t>426</t>
        </r>
        <r>
          <rPr>
            <sz val="9"/>
            <color indexed="81"/>
            <rFont val="Tahoma"/>
            <charset val="1"/>
          </rPr>
          <t xml:space="preserve">), </t>
        </r>
        <r>
          <rPr>
            <b/>
            <sz val="9"/>
            <color indexed="81"/>
            <rFont val="Tahoma"/>
            <family val="2"/>
          </rPr>
          <t>Wenschdorf (448)</t>
        </r>
        <r>
          <rPr>
            <sz val="9"/>
            <color indexed="81"/>
            <rFont val="Tahoma"/>
            <charset val="1"/>
          </rPr>
          <t xml:space="preserve">, Miltenberg, Bürgstadt Überführung, </t>
        </r>
        <r>
          <rPr>
            <i/>
            <sz val="9"/>
            <color indexed="81"/>
            <rFont val="Tahoma"/>
            <family val="2"/>
          </rPr>
          <t>Martinsbrücke (127)</t>
        </r>
        <r>
          <rPr>
            <sz val="9"/>
            <color indexed="81"/>
            <rFont val="Tahoma"/>
            <charset val="1"/>
          </rPr>
          <t xml:space="preserve"> &amp; retour</t>
        </r>
      </text>
    </comment>
    <comment ref="A12" authorId="0">
      <text>
        <r>
          <rPr>
            <sz val="9"/>
            <color indexed="81"/>
            <rFont val="Tahoma"/>
            <family val="2"/>
          </rPr>
          <t xml:space="preserve">Radweg Breitendiel, Weilbach, Weilbach Süd, Amorbach (Sportplatz), Otterbachtal, Forsthaus, </t>
        </r>
        <r>
          <rPr>
            <b/>
            <sz val="9"/>
            <color indexed="81"/>
            <rFont val="Tahoma"/>
            <family val="2"/>
          </rPr>
          <t>Emichshöhe (505 max)</t>
        </r>
        <r>
          <rPr>
            <sz val="9"/>
            <color indexed="81"/>
            <rFont val="Tahoma"/>
            <family val="2"/>
          </rPr>
          <t xml:space="preserve"> &amp; Retour bis Weilbach </t>
        </r>
        <r>
          <rPr>
            <i/>
            <sz val="9"/>
            <color indexed="81"/>
            <rFont val="Tahoma"/>
            <family val="2"/>
          </rPr>
          <t>(Weckbach 150)</t>
        </r>
        <r>
          <rPr>
            <sz val="9"/>
            <color indexed="81"/>
            <rFont val="Tahoma"/>
            <family val="2"/>
          </rPr>
          <t xml:space="preserve">, Weichtal, </t>
        </r>
        <r>
          <rPr>
            <b/>
            <sz val="9"/>
            <color indexed="81"/>
            <rFont val="Tahoma"/>
            <family val="2"/>
          </rPr>
          <t>Mainbullau (441)</t>
        </r>
        <r>
          <rPr>
            <sz val="9"/>
            <color indexed="81"/>
            <rFont val="Tahoma"/>
            <family val="2"/>
          </rPr>
          <t>, Sendeturmweg ab</t>
        </r>
      </text>
    </comment>
    <comment ref="F12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Emichshöhe</t>
        </r>
      </text>
    </comment>
    <comment ref="G12" authorId="0">
      <text>
        <r>
          <rPr>
            <sz val="9"/>
            <color indexed="81"/>
            <rFont val="Tahoma"/>
            <charset val="1"/>
          </rPr>
          <t>Otterbach - Emichshöhe</t>
        </r>
      </text>
    </comment>
    <comment ref="A13" authorId="0">
      <text>
        <r>
          <rPr>
            <sz val="9"/>
            <color indexed="81"/>
            <rFont val="Tahoma"/>
            <family val="2"/>
          </rPr>
          <t xml:space="preserve">Kleinheubach, Großheubach, Miltenberg, Bürgstadt, </t>
        </r>
        <r>
          <rPr>
            <i/>
            <sz val="9"/>
            <color indexed="81"/>
            <rFont val="Tahoma"/>
            <family val="2"/>
          </rPr>
          <t>Miltenberg (126)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Wenschdorfer Weg (457)</t>
        </r>
        <r>
          <rPr>
            <sz val="9"/>
            <color indexed="81"/>
            <rFont val="Tahoma"/>
            <family val="2"/>
          </rPr>
          <t xml:space="preserve">, Geisenhof, Gottersdorf, </t>
        </r>
        <r>
          <rPr>
            <i/>
            <sz val="9"/>
            <color indexed="81"/>
            <rFont val="Tahoma"/>
            <family val="2"/>
          </rPr>
          <t>Rippberg (216)</t>
        </r>
        <r>
          <rPr>
            <sz val="9"/>
            <color indexed="81"/>
            <rFont val="Tahoma"/>
            <family val="2"/>
          </rPr>
          <t xml:space="preserve">, Linkenmühle, Hornbach, </t>
        </r>
        <r>
          <rPr>
            <b/>
            <sz val="9"/>
            <color indexed="81"/>
            <rFont val="Tahoma"/>
            <family val="2"/>
          </rPr>
          <t>Hochspeicher (425)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Klein-Hornbach (390)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Hambrunn (462 max)</t>
        </r>
        <r>
          <rPr>
            <sz val="9"/>
            <color indexed="81"/>
            <rFont val="Tahoma"/>
            <family val="2"/>
          </rPr>
          <t>, Schneeberg, Amorbach, Weilbach, Breitendiel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Hambrunn</t>
        </r>
      </text>
    </comment>
    <comment ref="G13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charset val="1"/>
          </rPr>
          <t xml:space="preserve">
323 Miltenberg - Wenschdorf
246 Rippberg - Hambrunn</t>
        </r>
      </text>
    </comment>
    <comment ref="A14" authorId="0">
      <text>
        <r>
          <rPr>
            <sz val="9"/>
            <color indexed="81"/>
            <rFont val="Tahoma"/>
            <charset val="1"/>
          </rPr>
          <t xml:space="preserve">Kleinheubach, Großheubach, Bürgstadt, Eichenbühl, </t>
        </r>
        <r>
          <rPr>
            <b/>
            <sz val="9"/>
            <color indexed="81"/>
            <rFont val="Tahoma"/>
            <family val="2"/>
          </rPr>
          <t>Neunkirchen (364)</t>
        </r>
        <r>
          <rPr>
            <sz val="9"/>
            <color indexed="81"/>
            <rFont val="Tahoma"/>
            <family val="2"/>
          </rPr>
          <t>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Richelbach, Riedern,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family val="2"/>
          </rPr>
          <t>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u/>
            <sz val="9"/>
            <color indexed="81"/>
            <rFont val="Tahoma"/>
            <family val="2"/>
          </rPr>
          <t>Badisch: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Kaltenbrunn, Reinhardsachsen, </t>
        </r>
        <r>
          <rPr>
            <b/>
            <sz val="9"/>
            <color indexed="81"/>
            <rFont val="Tahoma"/>
            <family val="2"/>
          </rPr>
          <t>Geisenhof (447 max)</t>
        </r>
        <r>
          <rPr>
            <sz val="9"/>
            <color indexed="81"/>
            <rFont val="Tahoma"/>
            <family val="2"/>
          </rPr>
          <t>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>Reichartshausen, Neudorf, Amorbach, Weilbach, Breitendiel</t>
        </r>
      </text>
    </comment>
    <comment ref="F14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Geisenhof - Reichartshausen</t>
        </r>
      </text>
    </comment>
    <comment ref="G14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Eichenbühl - Neunkirchen</t>
        </r>
      </text>
    </comment>
    <comment ref="A15" authorId="2">
      <text>
        <r>
          <rPr>
            <i/>
            <sz val="9"/>
            <color indexed="81"/>
            <rFont val="Tahoma"/>
            <family val="2"/>
          </rPr>
          <t>Miltenberg (130 min)</t>
        </r>
        <r>
          <rPr>
            <sz val="9"/>
            <color indexed="81"/>
            <rFont val="Tahoma"/>
            <family val="2"/>
          </rPr>
          <t xml:space="preserve"> - Walldürn: B47, </t>
        </r>
        <r>
          <rPr>
            <b/>
            <sz val="9"/>
            <color indexed="81"/>
            <rFont val="Tahoma"/>
            <family val="2"/>
          </rPr>
          <t>Golfplatz Neusaß (420)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Hinter Gottersdorf (376)</t>
        </r>
        <r>
          <rPr>
            <sz val="9"/>
            <color indexed="81"/>
            <rFont val="Tahoma"/>
            <family val="2"/>
          </rPr>
          <t xml:space="preserve">, Geisenhof, </t>
        </r>
        <r>
          <rPr>
            <b/>
            <sz val="9"/>
            <color indexed="81"/>
            <rFont val="Tahoma"/>
            <family val="2"/>
          </rPr>
          <t>Wenschdorfer Weg (457 max)</t>
        </r>
        <r>
          <rPr>
            <sz val="9"/>
            <color indexed="81"/>
            <rFont val="Tahoma"/>
            <family val="2"/>
          </rPr>
          <t xml:space="preserve">, Wenschdorf, Reichartshausen, Neudorf, Amorbach, Weilbach, Breitendiel, Miltenberg
</t>
        </r>
        <r>
          <rPr>
            <sz val="8"/>
            <color indexed="81"/>
            <rFont val="Tahoma"/>
            <family val="2"/>
          </rPr>
          <t>Sonntag 2018-04-08 7:00 - 9:10, Licht, ohne Pause 5 - 8 °C, klar - sonnig, 0,75ℓ</t>
        </r>
      </text>
    </comment>
    <comment ref="A16" authorId="0">
      <text>
        <r>
          <rPr>
            <sz val="9"/>
            <color indexed="81"/>
            <rFont val="Tahoma"/>
            <charset val="1"/>
          </rPr>
          <t>Kleinheubach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Tahoma"/>
            <charset val="1"/>
          </rPr>
          <t xml:space="preserve">Großheubach, Bürgstadt, Eichenbühl, </t>
        </r>
        <r>
          <rPr>
            <b/>
            <sz val="9"/>
            <color indexed="81"/>
            <rFont val="Tahoma"/>
            <family val="2"/>
          </rPr>
          <t>Neunkirchen (364),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Richelbach, Riedern,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u/>
            <sz val="9"/>
            <color indexed="81"/>
            <rFont val="Tahoma"/>
            <family val="2"/>
          </rPr>
          <t>Bayrisch:</t>
        </r>
        <r>
          <rPr>
            <sz val="9"/>
            <color indexed="81"/>
            <rFont val="Tahoma"/>
            <charset val="1"/>
          </rPr>
          <t xml:space="preserve"> Heppdiel - Schippach </t>
        </r>
        <r>
          <rPr>
            <i/>
            <sz val="9"/>
            <color indexed="81"/>
            <rFont val="Tahoma"/>
            <family val="2"/>
          </rPr>
          <t xml:space="preserve">(Steil!), </t>
        </r>
        <r>
          <rPr>
            <b/>
            <sz val="9"/>
            <color indexed="81"/>
            <rFont val="Tahoma"/>
            <family val="2"/>
          </rPr>
          <t>Geisenhof (457 max)</t>
        </r>
        <r>
          <rPr>
            <sz val="9"/>
            <color indexed="81"/>
            <rFont val="Tahoma"/>
            <family val="2"/>
          </rPr>
          <t>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>Reichartshausen, Neudorf, Amorbach, Weilbach, Breitendiel</t>
        </r>
      </text>
    </comment>
    <comment ref="D16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Steile Rampe zwischen Pfohlbach und Heppdiel</t>
        </r>
      </text>
    </comment>
    <comment ref="F16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Schippach - Geisenhof</t>
        </r>
      </text>
    </comment>
    <comment ref="G16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Eichenbühl - Neunkirchen</t>
        </r>
      </text>
    </comment>
    <comment ref="A17" authorId="1">
      <text>
        <r>
          <rPr>
            <sz val="9"/>
            <color indexed="81"/>
            <rFont val="Tahoma"/>
            <charset val="1"/>
          </rPr>
          <t>Springerquelle, Ernstbrunnengraben, Hinterernst, Kreuzeiche, Lauseiche, Rauschen,</t>
        </r>
        <r>
          <rPr>
            <b/>
            <sz val="9"/>
            <color indexed="81"/>
            <rFont val="Tahoma"/>
            <family val="2"/>
          </rPr>
          <t xml:space="preserve"> Steinkopf (460 max)</t>
        </r>
      </text>
    </comment>
    <comment ref="A18" authorId="0">
      <text>
        <r>
          <rPr>
            <sz val="9"/>
            <color indexed="81"/>
            <rFont val="Tahoma"/>
            <charset val="1"/>
          </rPr>
          <t xml:space="preserve">Kleinheubach, Großheubach, Miltenberg, </t>
        </r>
        <r>
          <rPr>
            <sz val="9"/>
            <color indexed="81"/>
            <rFont val="Tahoma"/>
            <family val="2"/>
          </rPr>
          <t xml:space="preserve">Martinsbrücke, </t>
        </r>
        <r>
          <rPr>
            <sz val="9"/>
            <color indexed="81"/>
            <rFont val="Tahoma"/>
            <charset val="1"/>
          </rPr>
          <t xml:space="preserve">Brügstadt, </t>
        </r>
        <r>
          <rPr>
            <sz val="9"/>
            <color indexed="81"/>
            <rFont val="Tahoma"/>
            <family val="2"/>
          </rPr>
          <t xml:space="preserve">Überführung, Sommerberg, </t>
        </r>
        <r>
          <rPr>
            <sz val="9"/>
            <color indexed="81"/>
            <rFont val="Tahoma"/>
            <charset val="1"/>
          </rPr>
          <t xml:space="preserve">Wenschdorf, </t>
        </r>
        <r>
          <rPr>
            <b/>
            <sz val="9"/>
            <color indexed="81"/>
            <rFont val="Tahoma"/>
            <family val="2"/>
          </rPr>
          <t>Kohlplatte (481 max),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Monbrunner Höhe (470),</t>
        </r>
        <r>
          <rPr>
            <sz val="9"/>
            <color indexed="81"/>
            <rFont val="Tahoma"/>
            <family val="2"/>
          </rPr>
          <t xml:space="preserve"> Monbrunn Ortsende, </t>
        </r>
        <r>
          <rPr>
            <i/>
            <sz val="9"/>
            <color indexed="81"/>
            <rFont val="Tahoma"/>
            <family val="2"/>
          </rPr>
          <t>Wende (387)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direkt zurück nach Wenschdorf, </t>
        </r>
        <r>
          <rPr>
            <b/>
            <sz val="9"/>
            <color indexed="81"/>
            <rFont val="Tahoma"/>
            <family val="2"/>
          </rPr>
          <t>Geisenhof (457),</t>
        </r>
        <r>
          <rPr>
            <sz val="9"/>
            <color indexed="81"/>
            <rFont val="Tahoma"/>
            <charset val="1"/>
          </rPr>
          <t xml:space="preserve"> Reichartshausen, Neudorf, Amorbach, Weilbach, Breitendiel</t>
        </r>
      </text>
    </comment>
    <comment ref="G18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Bürgstadt - Wenschdorf</t>
        </r>
      </text>
    </comment>
    <comment ref="A19" authorId="0">
      <text>
        <r>
          <rPr>
            <sz val="9"/>
            <color indexed="81"/>
            <rFont val="Tahoma"/>
            <charset val="1"/>
          </rPr>
          <t xml:space="preserve">Breitendiel - Weilbach - Amorbach - Buch - Ünglert - Mudau: Radweg, Schlossau, </t>
        </r>
        <r>
          <rPr>
            <b/>
            <sz val="9"/>
            <color indexed="81"/>
            <rFont val="Tahoma"/>
            <family val="2"/>
          </rPr>
          <t>Kinzertweg (547 max),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Tahoma"/>
            <charset val="1"/>
          </rPr>
          <t xml:space="preserve">Hesselbach, </t>
        </r>
        <r>
          <rPr>
            <b/>
            <sz val="9"/>
            <color indexed="81"/>
            <rFont val="Tahoma"/>
            <family val="2"/>
          </rPr>
          <t>Würzberg (544)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Laudenbach (128 min),</t>
        </r>
        <r>
          <rPr>
            <sz val="9"/>
            <color indexed="81"/>
            <rFont val="Tahoma"/>
            <charset val="1"/>
          </rPr>
          <t xml:space="preserve"> Kleinheubach</t>
        </r>
      </text>
    </comment>
    <comment ref="F19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Kinzertweg</t>
        </r>
      </text>
    </comment>
    <comment ref="G19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Landesgrenze - Schlossau</t>
        </r>
      </text>
    </comment>
    <comment ref="A20" authorId="1">
      <text>
        <r>
          <rPr>
            <sz val="9"/>
            <color indexed="81"/>
            <rFont val="Tahoma"/>
            <charset val="1"/>
          </rPr>
          <t xml:space="preserve">Weilbach, Weckbach, Wiesenthal, Ohrnbach, Geyersmühle, Cross: Kreuzeiche unterer Weg, Geisberg oberer Weg, Lauseiche, Rauschen, Rotes Bild, </t>
        </r>
        <r>
          <rPr>
            <b/>
            <sz val="9"/>
            <color indexed="81"/>
            <rFont val="Tahoma"/>
            <family val="2"/>
          </rPr>
          <t>Steinkopf (460 max)</t>
        </r>
        <r>
          <rPr>
            <sz val="9"/>
            <color indexed="81"/>
            <rFont val="Tahoma"/>
            <charset val="1"/>
          </rPr>
          <t xml:space="preserve">, Miltenberg
</t>
        </r>
        <r>
          <rPr>
            <sz val="8"/>
            <color indexed="81"/>
            <rFont val="Tahoma"/>
            <family val="2"/>
          </rPr>
          <t>Sonntag 2014-10-19 10:30 - 12:30 13 - 18 °C sonnig</t>
        </r>
      </text>
    </comment>
    <comment ref="G20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Geyersmühle - Kreuzeiche</t>
        </r>
      </text>
    </comment>
    <comment ref="A21" authorId="0">
      <text>
        <r>
          <rPr>
            <u/>
            <sz val="9"/>
            <color indexed="81"/>
            <rFont val="Tahoma"/>
            <family val="2"/>
          </rPr>
          <t>Keine Ortsberührungen, keine Rodungen, nur Waldwege!</t>
        </r>
        <r>
          <rPr>
            <sz val="9"/>
            <color indexed="81"/>
            <rFont val="Tahoma"/>
            <charset val="1"/>
          </rPr>
          <t xml:space="preserve"> Springerquelle, rotes Bild, Aspenweg, Winnetal, Lattberg, Scheuerbusch, Lauseiche, am roten Bild rechts ab, Ernstbrunnen, Schutzhütte, Springerquelle</t>
        </r>
      </text>
    </comment>
    <comment ref="F21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Rauschen</t>
        </r>
      </text>
    </comment>
    <comment ref="G21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 xml:space="preserve">2 Hauptanstiege
</t>
        </r>
        <r>
          <rPr>
            <sz val="9"/>
            <color indexed="81"/>
            <rFont val="Tahoma"/>
            <charset val="1"/>
          </rPr>
          <t>300 Miltenberg - Rotes Bild
170 Winnegraben - Rauschen</t>
        </r>
      </text>
    </comment>
    <comment ref="A22" authorId="0">
      <text>
        <r>
          <rPr>
            <sz val="9"/>
            <color indexed="81"/>
            <rFont val="Tahoma"/>
            <charset val="1"/>
          </rPr>
          <t xml:space="preserve">Großheubach, </t>
        </r>
        <r>
          <rPr>
            <i/>
            <sz val="9"/>
            <color indexed="81"/>
            <rFont val="Tahoma"/>
            <family val="2"/>
          </rPr>
          <t>Röllfeld (123 min)</t>
        </r>
        <r>
          <rPr>
            <sz val="9"/>
            <color indexed="81"/>
            <rFont val="Tahoma"/>
            <charset val="1"/>
          </rPr>
          <t xml:space="preserve">, Röllbach, Schmachtenberg </t>
        </r>
        <r>
          <rPr>
            <b/>
            <sz val="9"/>
            <color indexed="81"/>
            <rFont val="Tahoma"/>
            <family val="2"/>
          </rPr>
          <t>(Bisch-Berg 300)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Mechenhard (300)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Pferdehof (195),</t>
        </r>
        <r>
          <rPr>
            <sz val="9"/>
            <color indexed="81"/>
            <rFont val="Tahoma"/>
            <charset val="1"/>
          </rPr>
          <t xml:space="preserve"> Streit </t>
        </r>
        <r>
          <rPr>
            <b/>
            <sz val="9"/>
            <color indexed="81"/>
            <rFont val="Tahoma"/>
            <family val="2"/>
          </rPr>
          <t>(Galgenberg 315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Schmachtenberg (300)</t>
        </r>
        <r>
          <rPr>
            <sz val="9"/>
            <color indexed="81"/>
            <rFont val="Tahoma"/>
            <charset val="1"/>
          </rPr>
          <t xml:space="preserve">, Wendelinuskapelle, Mönchberg vorbei, </t>
        </r>
        <r>
          <rPr>
            <i/>
            <sz val="9"/>
            <color indexed="81"/>
            <rFont val="Tahoma"/>
            <family val="2"/>
          </rPr>
          <t>Röllbach (214)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Rosshof (290)</t>
        </r>
        <r>
          <rPr>
            <sz val="9"/>
            <color indexed="81"/>
            <rFont val="Tahoma"/>
            <charset val="1"/>
          </rPr>
          <t>, Großheubach</t>
        </r>
      </text>
    </comment>
    <comment ref="F22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Galgenberg</t>
        </r>
      </text>
    </comment>
    <comment ref="G22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Röllfeld - Mechenhard</t>
        </r>
      </text>
    </comment>
    <comment ref="A23" authorId="0">
      <text>
        <r>
          <rPr>
            <sz val="9"/>
            <color indexed="81"/>
            <rFont val="Tahoma"/>
            <charset val="1"/>
          </rPr>
          <t>Promilleweg, R-Weg, Solhöhe (schieben), Eselsweg, Geiersberg, Straße ab</t>
        </r>
      </text>
    </comment>
    <comment ref="G23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Großheubach - Langer Berg</t>
        </r>
      </text>
    </comment>
    <comment ref="A24" authorId="1">
      <text>
        <r>
          <rPr>
            <sz val="9"/>
            <color indexed="81"/>
            <rFont val="Tahoma"/>
            <family val="2"/>
          </rPr>
          <t xml:space="preserve">Weilbach, Amorbach, Kirchzell, Ottorfszell, Ernsttal, Waldleiningen, Hesselbach, </t>
        </r>
        <r>
          <rPr>
            <b/>
            <sz val="9"/>
            <color indexed="81"/>
            <rFont val="Tahoma"/>
            <family val="2"/>
          </rPr>
          <t>Würzberg (544 max)</t>
        </r>
        <r>
          <rPr>
            <sz val="9"/>
            <color indexed="81"/>
            <rFont val="Tahoma"/>
            <family val="2"/>
          </rPr>
          <t>, Vielbrunn, Laudenbach, Kleinheubach</t>
        </r>
      </text>
    </comment>
    <comment ref="F24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Würzberg</t>
        </r>
      </text>
    </comment>
    <comment ref="G24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Kirchzell - Limes</t>
        </r>
      </text>
    </comment>
    <comment ref="A25" authorId="1">
      <text>
        <r>
          <rPr>
            <b/>
            <i/>
            <sz val="9"/>
            <color indexed="81"/>
            <rFont val="Tahoma"/>
            <family val="2"/>
          </rPr>
          <t>"Ironhill"</t>
        </r>
        <r>
          <rPr>
            <sz val="9"/>
            <color indexed="81"/>
            <rFont val="Tahoma"/>
            <charset val="1"/>
          </rPr>
          <t xml:space="preserve"> letzte zwei Anstiege: Schützenhaus Kleinheubach, Winne, Steinkopf, Weichtal, Höhe</t>
        </r>
      </text>
    </comment>
    <comment ref="A26" authorId="1">
      <text>
        <r>
          <rPr>
            <sz val="9"/>
            <color indexed="81"/>
            <rFont val="Tahoma"/>
            <charset val="1"/>
          </rPr>
          <t xml:space="preserve">Miltenberg - Pfohlbach: Radweg, Kaltenbrunn, Reinhardsachsen, </t>
        </r>
        <r>
          <rPr>
            <b/>
            <sz val="9"/>
            <color indexed="81"/>
            <rFont val="Tahoma"/>
            <family val="2"/>
          </rPr>
          <t>Geisenhof (447)</t>
        </r>
        <r>
          <rPr>
            <sz val="9"/>
            <color indexed="81"/>
            <rFont val="Tahoma"/>
            <charset val="1"/>
          </rPr>
          <t xml:space="preserve">, Reichartshausen, </t>
        </r>
        <r>
          <rPr>
            <b/>
            <sz val="9"/>
            <color indexed="81"/>
            <rFont val="Tahoma"/>
            <family val="2"/>
          </rPr>
          <t>Thingplatz (466 max)</t>
        </r>
        <r>
          <rPr>
            <sz val="9"/>
            <color indexed="81"/>
            <rFont val="Tahoma"/>
            <charset val="1"/>
          </rPr>
          <t xml:space="preserve">, Neudorf, Amorbach, Weilbach, Breitendiel, Miltenberg
</t>
        </r>
        <r>
          <rPr>
            <sz val="8"/>
            <color indexed="81"/>
            <rFont val="Tahoma"/>
            <family val="2"/>
          </rPr>
          <t>RR-tauglich: 44,5 km; 576 Hm</t>
        </r>
      </text>
    </comment>
    <comment ref="F26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Neudorf Thingplatz</t>
        </r>
      </text>
    </comment>
    <comment ref="G26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- Kaltenbrunn</t>
        </r>
      </text>
    </comment>
    <comment ref="H26" authorId="1">
      <text>
        <r>
          <rPr>
            <sz val="9"/>
            <color indexed="81"/>
            <rFont val="Tahoma"/>
            <family val="2"/>
          </rPr>
          <t>Empfohlen: CR</t>
        </r>
      </text>
    </comment>
    <comment ref="A27" authorId="1">
      <text>
        <r>
          <rPr>
            <sz val="9"/>
            <color indexed="81"/>
            <rFont val="Tahoma"/>
            <charset val="1"/>
          </rPr>
          <t>Ottorfszell, Ernsttal, Donebach, Radweg retour</t>
        </r>
      </text>
    </comment>
    <comment ref="F27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Donebach</t>
        </r>
      </text>
    </comment>
    <comment ref="G27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319 Kirchzell - Donebach</t>
        </r>
      </text>
    </comment>
    <comment ref="A28" authorId="1">
      <text>
        <r>
          <rPr>
            <sz val="9"/>
            <color indexed="81"/>
            <rFont val="Tahoma"/>
            <charset val="1"/>
          </rPr>
          <t xml:space="preserve">Radweg: Miltenberg - Schneeberg, Zittenfelden, Hettigenbeuern, </t>
        </r>
        <r>
          <rPr>
            <i/>
            <sz val="9"/>
            <color indexed="81"/>
            <rFont val="Tahoma"/>
            <family val="2"/>
          </rPr>
          <t>Morre (258)</t>
        </r>
        <r>
          <rPr>
            <sz val="9"/>
            <color indexed="81"/>
            <rFont val="Tahoma"/>
            <charset val="1"/>
          </rPr>
          <t xml:space="preserve">, Stürzenhardt, </t>
        </r>
        <r>
          <rPr>
            <b/>
            <sz val="9"/>
            <color indexed="81"/>
            <rFont val="Tahoma"/>
            <family val="2"/>
          </rPr>
          <t>Odenwaldhöhe (477 max</t>
        </r>
        <r>
          <rPr>
            <sz val="9"/>
            <color indexed="81"/>
            <rFont val="Tahoma"/>
            <charset val="1"/>
          </rPr>
          <t xml:space="preserve">), </t>
        </r>
        <r>
          <rPr>
            <i/>
            <sz val="9"/>
            <color indexed="81"/>
            <rFont val="Tahoma"/>
            <family val="2"/>
          </rPr>
          <t>Steinbach (440)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Hagheumahden (472)</t>
        </r>
        <r>
          <rPr>
            <sz val="9"/>
            <color indexed="81"/>
            <rFont val="Tahoma"/>
            <charset val="1"/>
          </rPr>
          <t xml:space="preserve">, Beuchen vorbei, Amorbach, Weilbach, Miltenberg
</t>
        </r>
        <r>
          <rPr>
            <sz val="8"/>
            <color indexed="81"/>
            <rFont val="Tahoma"/>
            <family val="2"/>
          </rPr>
          <t>Samstag 2014-09-06 9:35 - 11:45 2:10 br., 17 - 25 °C, schwühlwarm
Samstag 1016-05-14 8:45 - 10:55 2:10 br., 10 °C, heiter bis wolking, wind aus nord</t>
        </r>
      </text>
    </comment>
    <comment ref="F28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Stürzenhardt Odenwaldhöhe</t>
        </r>
      </text>
    </comment>
    <comment ref="G28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Morre - Höhe</t>
        </r>
      </text>
    </comment>
    <comment ref="A29" authorId="1">
      <text>
        <r>
          <rPr>
            <i/>
            <sz val="9"/>
            <color indexed="81"/>
            <rFont val="Tahoma"/>
            <family val="2"/>
          </rPr>
          <t>Miltenberg (130 min)</t>
        </r>
        <r>
          <rPr>
            <sz val="9"/>
            <color indexed="81"/>
            <rFont val="Tahoma"/>
            <charset val="1"/>
          </rPr>
          <t xml:space="preserve">, Breitendiel, Weilbach, Amorbach, Schneeberg, Rippberg, Beuchertsmühle, Walldürn: Radweg, </t>
        </r>
        <r>
          <rPr>
            <b/>
            <sz val="9"/>
            <color indexed="81"/>
            <rFont val="Tahoma"/>
            <family val="2"/>
          </rPr>
          <t>Golfplatz Neusaß (420)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Hinter Gottersdorf (376)</t>
        </r>
        <r>
          <rPr>
            <sz val="9"/>
            <color indexed="81"/>
            <rFont val="Tahoma"/>
            <charset val="1"/>
          </rPr>
          <t xml:space="preserve">, Geisenhof, </t>
        </r>
        <r>
          <rPr>
            <b/>
            <sz val="9"/>
            <color indexed="81"/>
            <rFont val="Tahoma"/>
            <family val="2"/>
          </rPr>
          <t>Wenschdorfer Weg (457 max)</t>
        </r>
        <r>
          <rPr>
            <sz val="9"/>
            <color indexed="81"/>
            <rFont val="Tahoma"/>
            <charset val="1"/>
          </rPr>
          <t>, Miltenberg, Bürgstadt, Großheubach, Kleinheubach, Miltenberg</t>
        </r>
      </text>
    </comment>
    <comment ref="F29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Wenschdorfer Weg</t>
        </r>
      </text>
    </comment>
    <comment ref="G29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 mit vielen Wellen</t>
        </r>
        <r>
          <rPr>
            <sz val="9"/>
            <color indexed="81"/>
            <rFont val="Tahoma"/>
            <charset val="1"/>
          </rPr>
          <t xml:space="preserve">
290 Miltenberg - Golfplatz Neusaß
081 Gottersdorf - Wenschdorfer Weg</t>
        </r>
      </text>
    </comment>
    <comment ref="A30" authorId="0">
      <text>
        <r>
          <rPr>
            <u/>
            <sz val="9"/>
            <color indexed="81"/>
            <rFont val="Tahoma"/>
            <family val="2"/>
          </rPr>
          <t>Ohne Ortsberührung!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Greinberg (452)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Höschhecken (473)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Geißbuckel (454)</t>
        </r>
      </text>
    </comment>
    <comment ref="G30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Miltenberg - Greinberg</t>
        </r>
      </text>
    </comment>
    <comment ref="A31" authorId="2">
      <text>
        <r>
          <rPr>
            <b/>
            <u/>
            <sz val="9"/>
            <color indexed="81"/>
            <rFont val="Tahoma"/>
            <family val="2"/>
          </rPr>
          <t>Odenwaldkreis im Uhrzeigersinn mit Wörth</t>
        </r>
        <r>
          <rPr>
            <sz val="9"/>
            <color indexed="81"/>
            <rFont val="Tahoma"/>
            <family val="2"/>
          </rPr>
          <t xml:space="preserve">
Weilbach, Amorbach, Kirchzell, Watterbach, Breitenbrunn, Würzberg, Vielbrunn, Haingrund, Seckmauern, Wörth, Trennfurt, Laudenbach, Kleinheubach
</t>
        </r>
        <r>
          <rPr>
            <sz val="8"/>
            <color indexed="81"/>
            <rFont val="Tahoma"/>
            <family val="2"/>
          </rPr>
          <t>Frohnleichnam 2018-05-31 18-25°C, 6:40 - 9:25, Sonnig</t>
        </r>
      </text>
    </comment>
    <comment ref="F31" authorId="2">
      <text>
        <r>
          <rPr>
            <sz val="9"/>
            <color indexed="81"/>
            <rFont val="Tahoma"/>
            <family val="2"/>
          </rPr>
          <t>Würzberg</t>
        </r>
      </text>
    </comment>
    <comment ref="G31" authorId="2">
      <text>
        <r>
          <rPr>
            <sz val="9"/>
            <color indexed="81"/>
            <rFont val="Tahoma"/>
            <family val="2"/>
          </rPr>
          <t>Kirchzell - Breitenbrunn</t>
        </r>
      </text>
    </comment>
    <comment ref="A32" authorId="1">
      <text>
        <r>
          <rPr>
            <b/>
            <u/>
            <sz val="9"/>
            <color indexed="81"/>
            <rFont val="Tahoma"/>
            <family val="2"/>
          </rPr>
          <t>Odenwaldkreis gegen den Uhrzeigersinn (7 * Links abbiegen)</t>
        </r>
        <r>
          <rPr>
            <sz val="9"/>
            <color indexed="81"/>
            <rFont val="Tahoma"/>
            <charset val="1"/>
          </rPr>
          <t xml:space="preserve">
Kleinheubach,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 xml:space="preserve">, Bremhof (416), Vielbrunn, Eulbach, </t>
        </r>
        <r>
          <rPr>
            <b/>
            <sz val="9"/>
            <color indexed="81"/>
            <rFont val="Tahoma"/>
            <family val="2"/>
          </rPr>
          <t>Würzberg (Mies 544 max)</t>
        </r>
        <r>
          <rPr>
            <sz val="9"/>
            <color indexed="81"/>
            <rFont val="Tahoma"/>
            <charset val="1"/>
          </rPr>
          <t xml:space="preserve">, Breitenbuch, Watterbach, Kirchzell, Pulvermühle, Amorbach, Weilbach, Breitendiel
</t>
        </r>
        <r>
          <rPr>
            <sz val="8"/>
            <color indexed="81"/>
            <rFont val="Tahoma"/>
            <family val="2"/>
          </rPr>
          <t>Samstag 2011-08-13, 10:15-12:40, 18-24°C
Weihnachten 2012-12-24, 10:30-13:15, 12-16°C
Sonntag 2014-03-09, 9:10 - 11:25, 3-13°C</t>
        </r>
      </text>
    </comment>
    <comment ref="F32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Würzberg</t>
        </r>
      </text>
    </comment>
    <comment ref="G32" authorId="1">
      <text>
        <r>
          <rPr>
            <sz val="9"/>
            <color indexed="81"/>
            <rFont val="Tahoma"/>
            <charset val="1"/>
          </rPr>
          <t>Laudenbach - Bremhof</t>
        </r>
      </text>
    </comment>
    <comment ref="A33" authorId="1">
      <text>
        <r>
          <rPr>
            <b/>
            <u/>
            <sz val="9"/>
            <color indexed="81"/>
            <rFont val="Tahoma"/>
            <family val="2"/>
          </rPr>
          <t>Odenwaldkreis im Uhrzeigersinn (3 * Links abbiegen)</t>
        </r>
        <r>
          <rPr>
            <sz val="9"/>
            <color indexed="81"/>
            <rFont val="Tahoma"/>
            <family val="2"/>
          </rPr>
          <t xml:space="preserve">
Weilbach, Amorbach, Kirchzell, Watterbach, Breitenbrunn, Würzberg, Vielbrunn, Laudenbach, Kleinheubach
</t>
        </r>
        <r>
          <rPr>
            <sz val="8"/>
            <color indexed="81"/>
            <rFont val="Tahoma"/>
            <family val="2"/>
          </rPr>
          <t>Sonntag 2016-04-24 1-3°C, 8:45 - 11:00, Aprilwetter - Schneeschauer</t>
        </r>
      </text>
    </comment>
    <comment ref="F33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Würzberg</t>
        </r>
      </text>
    </comment>
    <comment ref="G33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Kirchzell - Breitenbuch</t>
        </r>
      </text>
    </comment>
    <comment ref="A34" authorId="1">
      <text>
        <r>
          <rPr>
            <sz val="9"/>
            <color indexed="81"/>
            <rFont val="Tahoma"/>
            <charset val="1"/>
          </rPr>
          <t>Miltenberg - Pfohlbach: Radweg, Ottenmühle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>], Kaltenbrunn, Reinhardsachsen, Cross: Feldwege, Alter Wald (458)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b/>
            <sz val="9"/>
            <color indexed="81"/>
            <rFont val="Tahoma"/>
            <family val="2"/>
          </rPr>
          <t>Neudorf Sendeturm (462 max)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Neudorf, Amorbach, Weilbach, Breitendiel, Miltenberg
</t>
        </r>
        <r>
          <rPr>
            <sz val="8"/>
            <color indexed="81"/>
            <rFont val="Tahoma"/>
            <family val="2"/>
          </rPr>
          <t>Ostersonntag 2014-04-20, 8:45 - 11:05, 2:20 br, 11 - 15 °C, Leicht bewölkt, Windig</t>
        </r>
      </text>
    </comment>
    <comment ref="G34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- Kaltenbrunn</t>
        </r>
      </text>
    </comment>
    <comment ref="A35" authorId="1">
      <text>
        <r>
          <rPr>
            <sz val="9"/>
            <color indexed="81"/>
            <rFont val="Tahoma"/>
            <family val="2"/>
          </rPr>
          <t xml:space="preserve">Weilbach, Weckbach, </t>
        </r>
        <r>
          <rPr>
            <b/>
            <sz val="9"/>
            <color indexed="81"/>
            <rFont val="Tahoma"/>
            <family val="2"/>
          </rPr>
          <t>Vielbrunn (461 max)</t>
        </r>
        <r>
          <rPr>
            <sz val="9"/>
            <color indexed="81"/>
            <rFont val="Tahoma"/>
            <family val="2"/>
          </rPr>
          <t xml:space="preserve">, Haingrund, Seckmauern, </t>
        </r>
        <r>
          <rPr>
            <i/>
            <sz val="9"/>
            <color indexed="81"/>
            <rFont val="Tahoma"/>
            <family val="2"/>
          </rPr>
          <t>Wörth (120 min)</t>
        </r>
        <r>
          <rPr>
            <sz val="9"/>
            <color indexed="81"/>
            <rFont val="Tahoma"/>
            <family val="2"/>
          </rPr>
          <t xml:space="preserve">, Erlenbach, </t>
        </r>
        <r>
          <rPr>
            <b/>
            <sz val="9"/>
            <color indexed="81"/>
            <rFont val="Tahoma"/>
            <family val="2"/>
          </rPr>
          <t>Mechenhard (300)</t>
        </r>
        <r>
          <rPr>
            <sz val="9"/>
            <color indexed="81"/>
            <rFont val="Tahoma"/>
            <family val="2"/>
          </rPr>
          <t>, Schmachtenberg, Rölbach, Großheubach</t>
        </r>
      </text>
    </comment>
    <comment ref="G35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Ohrnbach - Vielbrunn</t>
        </r>
      </text>
    </comment>
    <comment ref="A36" authorId="0">
      <text>
        <r>
          <rPr>
            <sz val="9"/>
            <color indexed="81"/>
            <rFont val="Tahoma"/>
            <charset val="1"/>
          </rPr>
          <t xml:space="preserve">Kleinheubach, </t>
        </r>
        <r>
          <rPr>
            <i/>
            <sz val="9"/>
            <color indexed="81"/>
            <rFont val="Tahoma"/>
            <family val="2"/>
          </rPr>
          <t>Laudenbach (125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 xml:space="preserve">Bremhof, </t>
        </r>
        <r>
          <rPr>
            <b/>
            <sz val="9"/>
            <color indexed="81"/>
            <rFont val="Tahoma"/>
            <family val="2"/>
          </rPr>
          <t>Hainhaus (457)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Tahoma"/>
            <charset val="1"/>
          </rPr>
          <t xml:space="preserve">Breitenbrunn, </t>
        </r>
        <r>
          <rPr>
            <i/>
            <sz val="9"/>
            <color indexed="81"/>
            <rFont val="Tahoma"/>
            <family val="2"/>
          </rPr>
          <t>Wende (270)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Hainhaus, Limesturm,</t>
        </r>
        <r>
          <rPr>
            <b/>
            <sz val="9"/>
            <color indexed="81"/>
            <rFont val="Tahoma"/>
            <family val="2"/>
          </rPr>
          <t xml:space="preserve"> Wende (461 max),</t>
        </r>
        <r>
          <rPr>
            <sz val="9"/>
            <color indexed="81"/>
            <rFont val="Tahoma"/>
            <family val="2"/>
          </rPr>
          <t xml:space="preserve"> Bremhof, </t>
        </r>
        <r>
          <rPr>
            <sz val="9"/>
            <color indexed="81"/>
            <rFont val="Tahoma"/>
            <charset val="1"/>
          </rPr>
          <t>Laudenbach, Kleinheubach</t>
        </r>
      </text>
    </comment>
    <comment ref="G36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Laudenbach - Bremhof</t>
        </r>
      </text>
    </comment>
    <comment ref="A37" authorId="1">
      <text>
        <r>
          <rPr>
            <sz val="9"/>
            <color indexed="81"/>
            <rFont val="Tahoma"/>
            <charset val="1"/>
          </rPr>
          <t xml:space="preserve">Springerquelle, </t>
        </r>
        <r>
          <rPr>
            <b/>
            <sz val="9"/>
            <color indexed="81"/>
            <rFont val="Tahoma"/>
            <family val="2"/>
          </rPr>
          <t>Rüdernhöhe (418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Weichtal (150)</t>
        </r>
        <r>
          <rPr>
            <sz val="9"/>
            <color indexed="81"/>
            <rFont val="Tahoma"/>
            <charset val="1"/>
          </rPr>
          <t xml:space="preserve"> &amp; retour
20,10 km; 750 Hm: Vernünftig + Parkplatz bis hoch</t>
        </r>
      </text>
    </comment>
    <comment ref="D37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Trigonometrisch</t>
        </r>
      </text>
    </comment>
    <comment ref="F37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Rüdernhöhe</t>
        </r>
      </text>
    </comment>
    <comment ref="G37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288 Miltenberg - Rüdernhöhe
268 Weilbach - Rüdernhöhe</t>
        </r>
      </text>
    </comment>
    <comment ref="A38" authorId="1">
      <text>
        <r>
          <rPr>
            <sz val="9"/>
            <color indexed="81"/>
            <rFont val="Tahoma"/>
            <charset val="1"/>
          </rPr>
          <t xml:space="preserve">MR bis Mömlingen </t>
        </r>
        <r>
          <rPr>
            <i/>
            <sz val="9"/>
            <color indexed="81"/>
            <rFont val="Tahoma"/>
            <family val="2"/>
          </rPr>
          <t>(117 min)</t>
        </r>
        <r>
          <rPr>
            <sz val="9"/>
            <color indexed="81"/>
            <rFont val="Tahoma"/>
            <charset val="1"/>
          </rPr>
          <t xml:space="preserve">, dann Radweg bis Mühlhausen (Hainstadt, Rosenbach, Rai-Breitenbach), Breitenbrunn, Vielbrunn </t>
        </r>
        <r>
          <rPr>
            <b/>
            <sz val="9"/>
            <color indexed="81"/>
            <rFont val="Tahoma"/>
            <family val="2"/>
          </rPr>
          <t>(461 max)</t>
        </r>
        <r>
          <rPr>
            <sz val="9"/>
            <color indexed="81"/>
            <rFont val="Tahoma"/>
            <charset val="1"/>
          </rPr>
          <t xml:space="preserve">, Weckbach, Weilbach, Miltenberg
</t>
        </r>
        <r>
          <rPr>
            <sz val="8"/>
            <color indexed="81"/>
            <rFont val="Tahoma"/>
            <family val="2"/>
          </rPr>
          <t>Sonntag 2014-11-02, 10:15 - 12:55 (10 Min P), 8 °C - 15 °C, Neblig - Sonnig
Sonntag 2017-02-12, 9:50 - 13:00, 2 °C, Hochnebel, Ostwind</t>
        </r>
      </text>
    </comment>
    <comment ref="F38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Limesturm</t>
        </r>
      </text>
    </comment>
    <comment ref="G38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310 Rai-Breitenbach - Limesturm</t>
        </r>
      </text>
    </comment>
    <comment ref="A39" authorId="1">
      <text>
        <r>
          <rPr>
            <sz val="9"/>
            <color indexed="81"/>
            <rFont val="Tahoma"/>
            <charset val="1"/>
          </rPr>
          <t xml:space="preserve">Radweg: Miltenberg - Schneeberg, Zittenfelden, Hettigenbeuern, Steinbach vorbei, </t>
        </r>
        <r>
          <rPr>
            <b/>
            <sz val="9"/>
            <color indexed="81"/>
            <rFont val="Tahoma"/>
            <family val="2"/>
          </rPr>
          <t>Hagheumahden (472 max)</t>
        </r>
        <r>
          <rPr>
            <sz val="9"/>
            <color indexed="81"/>
            <rFont val="Tahoma"/>
            <charset val="1"/>
          </rPr>
          <t>, Beuchen vorbei, Amorbach, Weilbach, Miltenberg</t>
        </r>
      </text>
    </comment>
    <comment ref="F39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Hagheumahden</t>
        </r>
      </text>
    </comment>
    <comment ref="G39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230 Hettigenbeuern - Steinbach; Ø 6,7% auf 3,4 (3)</t>
        </r>
      </text>
    </comment>
    <comment ref="A40" authorId="1">
      <text>
        <r>
          <rPr>
            <sz val="9"/>
            <color indexed="81"/>
            <rFont val="Tahoma"/>
            <family val="2"/>
          </rPr>
          <t>Mil - Mönchberg: Radweg (ca. 0,5 km Schotter) , MIL 2 bis Geiersberg, Reistenhausen, Radweg bis MIL
CR: Geiersberg via Kreuzung MIL 2/Waldweg möglich (38,1 km)</t>
        </r>
      </text>
    </comment>
    <comment ref="D40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Gemittelt: H(diff), H(gps)</t>
        </r>
      </text>
    </comment>
    <comment ref="H40" authorId="1">
      <text>
        <r>
          <rPr>
            <sz val="9"/>
            <color indexed="81"/>
            <rFont val="Tahoma"/>
            <family val="2"/>
          </rPr>
          <t>Empfohlen: CR</t>
        </r>
      </text>
    </comment>
    <comment ref="A41" authorId="1">
      <text>
        <r>
          <rPr>
            <sz val="9"/>
            <color indexed="81"/>
            <rFont val="Tahoma"/>
            <charset val="1"/>
          </rPr>
          <t xml:space="preserve">Großheubach, R-Weg, Eselsweg </t>
        </r>
        <r>
          <rPr>
            <b/>
            <sz val="9"/>
            <color indexed="81"/>
            <rFont val="Tahoma"/>
            <family val="2"/>
          </rPr>
          <t>(482 max)</t>
        </r>
        <r>
          <rPr>
            <sz val="9"/>
            <color indexed="81"/>
            <rFont val="Tahoma"/>
            <charset val="1"/>
          </rPr>
          <t xml:space="preserve">, Roter Querbalken (Freudenberger Weg), Kirschfurt, Freudenberg, MR, Miltenberg
</t>
        </r>
        <r>
          <rPr>
            <sz val="8"/>
            <color indexed="81"/>
            <rFont val="Tahoma"/>
            <family val="2"/>
          </rPr>
          <t>Samstag 2014-02-22, 9:40 - 12:05, 5-8°C, Heiter</t>
        </r>
      </text>
    </comment>
    <comment ref="F41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Schöllesberg</t>
        </r>
      </text>
    </comment>
    <comment ref="G41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Main - Ospis</t>
        </r>
      </text>
    </comment>
    <comment ref="A42" authorId="1">
      <text>
        <r>
          <rPr>
            <sz val="9"/>
            <color indexed="81"/>
            <rFont val="Tahoma"/>
            <charset val="1"/>
          </rPr>
          <t xml:space="preserve">Kleinheubach, Großheubach, Bürgstadt, Miltenberg, </t>
        </r>
        <r>
          <rPr>
            <b/>
            <sz val="9"/>
            <color indexed="81"/>
            <rFont val="Tahoma"/>
            <family val="2"/>
          </rPr>
          <t>Wenschdorf (481 max)</t>
        </r>
        <r>
          <rPr>
            <sz val="9"/>
            <color indexed="81"/>
            <rFont val="Tahoma"/>
            <charset val="1"/>
          </rPr>
          <t>, Reichartshausen, Neudorf, Amorbach, Weilbach</t>
        </r>
      </text>
    </comment>
    <comment ref="A43" authorId="0">
      <text>
        <r>
          <rPr>
            <u/>
            <sz val="9"/>
            <color indexed="81"/>
            <rFont val="Tahoma"/>
            <family val="2"/>
          </rPr>
          <t>Ohne Ortsberührung!</t>
        </r>
        <r>
          <rPr>
            <sz val="9"/>
            <color indexed="81"/>
            <rFont val="Tahoma"/>
            <charset val="1"/>
          </rPr>
          <t xml:space="preserve"> Kreisel, Promilleweg, Schlagweg, R-Weg,</t>
        </r>
        <r>
          <rPr>
            <sz val="9"/>
            <color indexed="81"/>
            <rFont val="Tahoma"/>
            <family val="2"/>
          </rPr>
          <t xml:space="preserve"> Engelsberg,</t>
        </r>
        <r>
          <rPr>
            <sz val="9"/>
            <color indexed="81"/>
            <rFont val="Tahoma"/>
            <charset val="1"/>
          </rPr>
          <t xml:space="preserve"> Rühlesberg, Eselsweg bis</t>
        </r>
        <r>
          <rPr>
            <b/>
            <sz val="9"/>
            <color indexed="81"/>
            <rFont val="Tahoma"/>
            <family val="2"/>
          </rPr>
          <t xml:space="preserve"> Ospis (439 max)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sz val="9"/>
            <color indexed="81"/>
            <rFont val="Tahoma"/>
            <family val="2"/>
          </rPr>
          <t>Klotzenhof,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Heu-Bach (180)</t>
        </r>
        <r>
          <rPr>
            <sz val="9"/>
            <color indexed="81"/>
            <rFont val="Tahoma"/>
            <family val="2"/>
          </rPr>
          <t xml:space="preserve">, Rosshof, </t>
        </r>
        <r>
          <rPr>
            <b/>
            <sz val="9"/>
            <color indexed="81"/>
            <rFont val="Tahoma"/>
            <family val="2"/>
          </rPr>
          <t>Bussigberg (341)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Weinbergpfad, Lachental </t>
        </r>
        <r>
          <rPr>
            <i/>
            <sz val="9"/>
            <color indexed="81"/>
            <rFont val="Tahoma"/>
            <family val="2"/>
          </rPr>
          <t>(Steil!)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Aussiedlerhof,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Main Radweg (124 min)</t>
        </r>
        <r>
          <rPr>
            <sz val="9"/>
            <color indexed="81"/>
            <rFont val="Tahoma"/>
            <charset val="1"/>
          </rPr>
          <t>, Feldweg, Brücke zurück</t>
        </r>
      </text>
    </comment>
    <comment ref="F43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Ospis Gipfelkreuz</t>
        </r>
      </text>
    </comment>
    <comment ref="G43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Mainradweg - Eselsweg am Hunnenstein</t>
        </r>
      </text>
    </comment>
    <comment ref="A44" authorId="0">
      <text>
        <r>
          <rPr>
            <sz val="9"/>
            <color indexed="81"/>
            <rFont val="Tahoma"/>
            <family val="2"/>
          </rPr>
          <t xml:space="preserve">Breitendiel, Weilbach, Amorbach, Beuchen, Steinbach, Mudau, </t>
        </r>
        <r>
          <rPr>
            <b/>
            <sz val="9"/>
            <color indexed="81"/>
            <rFont val="Tahoma"/>
            <family val="2"/>
          </rPr>
          <t>Schloßau (530 max)</t>
        </r>
        <r>
          <rPr>
            <sz val="9"/>
            <color indexed="81"/>
            <rFont val="Tahoma"/>
            <family val="2"/>
          </rPr>
          <t>, Ernsttal, Ottorfszell, Kirchzell, Amorbach, Weilbach</t>
        </r>
      </text>
    </comment>
    <comment ref="F44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Schlossau</t>
        </r>
      </text>
    </comment>
    <comment ref="G44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Amorbach - Beuchen</t>
        </r>
      </text>
    </comment>
    <comment ref="A45" authorId="1">
      <text>
        <r>
          <rPr>
            <sz val="9"/>
            <color indexed="81"/>
            <rFont val="Tahoma"/>
            <family val="2"/>
          </rPr>
          <t xml:space="preserve">Radweg bis Freudenberg </t>
        </r>
        <r>
          <rPr>
            <i/>
            <sz val="9"/>
            <color indexed="81"/>
            <rFont val="Tahoma"/>
            <family val="2"/>
          </rPr>
          <t>(129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Ziegelberg-Pass (415)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Lindtal (366)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Jungholzstraße-Pass (459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Winnengrund (330)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Ebenheid (386)</t>
        </r>
        <r>
          <rPr>
            <sz val="9"/>
            <color indexed="81"/>
            <rFont val="Tahoma"/>
            <family val="2"/>
          </rPr>
          <t xml:space="preserve">, Eichenbühl, Radweg
</t>
        </r>
        <r>
          <rPr>
            <sz val="8"/>
            <color indexed="81"/>
            <rFont val="Tahoma"/>
            <family val="2"/>
          </rPr>
          <t>Mittwoch 2013-06-26 10 - 16 °C</t>
        </r>
      </text>
    </comment>
    <comment ref="D45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Trigonometrisch</t>
        </r>
      </text>
    </comment>
    <comment ref="F45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Jungholzstraße</t>
        </r>
      </text>
    </comment>
    <comment ref="G45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 mit vielen Wellen</t>
        </r>
        <r>
          <rPr>
            <sz val="9"/>
            <color indexed="81"/>
            <rFont val="Tahoma"/>
            <family val="2"/>
          </rPr>
          <t xml:space="preserve">
285 Freudenberg - Ziegelberg
093 Lindtal - Jungholzstraße
056 Winnengrund - Ebenheid</t>
        </r>
      </text>
    </comment>
    <comment ref="H45" authorId="1">
      <text>
        <r>
          <rPr>
            <sz val="9"/>
            <color indexed="81"/>
            <rFont val="Tahoma"/>
            <family val="2"/>
          </rPr>
          <t>Empfohlen: CR</t>
        </r>
      </text>
    </comment>
  </commentList>
</comments>
</file>

<file path=xl/comments6.xml><?xml version="1.0" encoding="utf-8"?>
<comments xmlns="http://schemas.openxmlformats.org/spreadsheetml/2006/main">
  <authors>
    <author>FAN</author>
    <author>fan</author>
    <author>HP</author>
  </authors>
  <commentList>
    <comment ref="D1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&gt;= 750 &lt; 1000</t>
        </r>
      </text>
    </comment>
    <comment ref="F1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G1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Maximaler durchgehender Anstieg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Häufigkeit
 Gold - Oft gefahren
 Silber - Selten gefahren
 Bronze - Einmal gefahren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Verkehr
 Gold - Wenig Verkehr RR / Wenig Asphalt MTB
 Silber - Normaler Verkehr RR / Hälfte Asphalt MTB
 Bronze - Viel Verkehr RR / Überwiegend Asphalt MTB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Strecke
 Gold - Wenige Kreuzungen RR / Flüssige Wege MTB
 Silber - Einige Kreuzungen RR / Teils Rampen, schlechte Wege MTB
 Bronze - Viele Kreuzungen, Ortsdurchfahrten RR / Steile Rampen, verblockte Wege MTB
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Landschaft
 Gold
 Silber
 Bronze
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Gesamtnote
 - Gold
 - Silber
 - Bronze</t>
        </r>
      </text>
    </comment>
    <comment ref="A2" authorId="1">
      <text>
        <r>
          <rPr>
            <b/>
            <u/>
            <sz val="9"/>
            <color indexed="81"/>
            <rFont val="Tahoma"/>
            <family val="2"/>
          </rPr>
          <t>Ironhill erste 2 Anstiege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Wannenberg (482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(127)</t>
        </r>
        <r>
          <rPr>
            <sz val="9"/>
            <color indexed="81"/>
            <rFont val="Tahoma"/>
            <charset val="1"/>
          </rPr>
          <t xml:space="preserve">, Radweg heim
</t>
        </r>
        <r>
          <rPr>
            <sz val="8"/>
            <color indexed="81"/>
            <rFont val="Tahoma"/>
            <family val="2"/>
          </rPr>
          <t>Samstag 2015-03-28 9:00 - 12:00 3:00 br. 8 Min P 5 - 10 °C</t>
        </r>
      </text>
    </comment>
    <comment ref="F2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Wannenberg</t>
        </r>
      </text>
    </comment>
    <comment ref="G2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family val="2"/>
          </rPr>
          <t xml:space="preserve">
354 Miltenberg - Kohlplatte
332 Eichenbühl - Wannenberg</t>
        </r>
      </text>
    </comment>
    <comment ref="A3" authorId="1">
      <text>
        <r>
          <rPr>
            <sz val="9"/>
            <color indexed="81"/>
            <rFont val="Tahoma"/>
            <family val="2"/>
          </rPr>
          <t xml:space="preserve">Kleinheubach, Großheubach, </t>
        </r>
        <r>
          <rPr>
            <i/>
            <sz val="9"/>
            <color indexed="81"/>
            <rFont val="Tahoma"/>
            <family val="2"/>
          </rPr>
          <t>Miltenberg (128 min)</t>
        </r>
        <r>
          <rPr>
            <sz val="9"/>
            <color indexed="81"/>
            <rFont val="Tahoma"/>
            <family val="2"/>
          </rPr>
          <t xml:space="preserve">, Bürgstadt, Eichenbühl, Pfohlbach (179), </t>
        </r>
        <r>
          <rPr>
            <b/>
            <sz val="9"/>
            <color indexed="81"/>
            <rFont val="Tahoma"/>
            <family val="2"/>
          </rPr>
          <t>Gerolzahn (380)</t>
        </r>
        <r>
          <rPr>
            <sz val="9"/>
            <color indexed="81"/>
            <rFont val="Tahoma"/>
            <family val="2"/>
          </rPr>
          <t xml:space="preserve">, Rippberg, </t>
        </r>
        <r>
          <rPr>
            <i/>
            <sz val="9"/>
            <color indexed="81"/>
            <rFont val="Tahoma"/>
            <family val="2"/>
          </rPr>
          <t>Marsbach (216)</t>
        </r>
        <r>
          <rPr>
            <sz val="9"/>
            <color indexed="81"/>
            <rFont val="Tahoma"/>
            <family val="2"/>
          </rPr>
          <t xml:space="preserve">, Hornbach, </t>
        </r>
        <r>
          <rPr>
            <b/>
            <sz val="9"/>
            <color indexed="81"/>
            <rFont val="Tahoma"/>
            <family val="2"/>
          </rPr>
          <t>Erli (426)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Hettigenbeuern, </t>
        </r>
        <r>
          <rPr>
            <i/>
            <sz val="9"/>
            <color indexed="81"/>
            <rFont val="Tahoma"/>
            <family val="2"/>
          </rPr>
          <t>Morre (228)</t>
        </r>
        <r>
          <rPr>
            <sz val="9"/>
            <color indexed="81"/>
            <rFont val="Tahoma"/>
            <family val="2"/>
          </rPr>
          <t xml:space="preserve">, Steinbach, </t>
        </r>
        <r>
          <rPr>
            <b/>
            <sz val="9"/>
            <color indexed="81"/>
            <rFont val="Tahoma"/>
            <family val="2"/>
          </rPr>
          <t>Hagheumahden (472 max)</t>
        </r>
        <r>
          <rPr>
            <sz val="9"/>
            <color indexed="81"/>
            <rFont val="Tahoma"/>
            <family val="2"/>
          </rPr>
          <t xml:space="preserve">, Beuchen vorbei, Amorbach, Weilbach, Breitendiel
</t>
        </r>
        <r>
          <rPr>
            <sz val="8"/>
            <color indexed="81"/>
            <rFont val="Tahoma"/>
            <family val="2"/>
          </rPr>
          <t>Sonntag 2014-05-18 9:40 - 12:20 (2:40 br) 7 min P, 15 - 18 °C heiter bis wolkig</t>
        </r>
      </text>
    </comment>
    <comment ref="D3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Gemittelt: Barometrisch, GPS</t>
        </r>
      </text>
    </comment>
    <comment ref="F3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Hagheumahden</t>
        </r>
      </text>
    </comment>
    <comment ref="G3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viele Wellen</t>
        </r>
        <r>
          <rPr>
            <sz val="9"/>
            <color indexed="81"/>
            <rFont val="Tahoma"/>
            <charset val="1"/>
          </rPr>
          <t xml:space="preserve">
252 Miltenberg - Gerolzahn
210 Rippberg - Erli
244 Morre - Hagheumahen</t>
        </r>
      </text>
    </comment>
    <comment ref="A4" authorId="0">
      <text>
        <r>
          <rPr>
            <sz val="9"/>
            <color indexed="81"/>
            <rFont val="Tahoma"/>
            <charset val="1"/>
          </rPr>
          <t xml:space="preserve">Kleinheubach, Laudenbach, Bremhof, </t>
        </r>
        <r>
          <rPr>
            <i/>
            <sz val="9"/>
            <color indexed="81"/>
            <rFont val="Tahoma"/>
            <family val="2"/>
          </rPr>
          <t>Hainhaus,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Eulbach,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Würzberg (544 max),</t>
        </r>
        <r>
          <rPr>
            <sz val="9"/>
            <color indexed="81"/>
            <rFont val="Tahoma"/>
            <charset val="1"/>
          </rPr>
          <t xml:space="preserve"> Breitenbrunn, Watterbach, Kirchzell, </t>
        </r>
        <r>
          <rPr>
            <sz val="9"/>
            <color indexed="81"/>
            <rFont val="Tahoma"/>
            <family val="2"/>
          </rPr>
          <t>Pulvermühle,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Amorbach (160),</t>
        </r>
        <r>
          <rPr>
            <sz val="9"/>
            <color indexed="81"/>
            <rFont val="Tahoma"/>
            <charset val="1"/>
          </rPr>
          <t xml:space="preserve"> Schneeberg, Zittenfelden, Hettigenbeuern - Hornbach </t>
        </r>
        <r>
          <rPr>
            <i/>
            <u/>
            <sz val="9"/>
            <color indexed="81"/>
            <rFont val="Tahoma"/>
            <family val="2"/>
          </rPr>
          <t>(22% max Steigung auf 2,0 km)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Hambrunn (462),</t>
        </r>
        <r>
          <rPr>
            <sz val="9"/>
            <color indexed="81"/>
            <rFont val="Tahoma"/>
            <charset val="1"/>
          </rPr>
          <t xml:space="preserve"> Schneeberg, Amorbach, Weilbach</t>
        </r>
      </text>
    </comment>
    <comment ref="D4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Extrem steile Rampe mit 22% zwischen Hettigenbeuern und Hornbach</t>
        </r>
      </text>
    </comment>
    <comment ref="F4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Würzberg</t>
        </r>
      </text>
    </comment>
    <comment ref="G4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Laudenbach - Bremhof</t>
        </r>
      </text>
    </comment>
    <comment ref="A5" authorId="1">
      <text>
        <r>
          <rPr>
            <sz val="9"/>
            <color indexed="81"/>
            <rFont val="Tahoma"/>
            <family val="2"/>
          </rPr>
          <t xml:space="preserve">Kleinheubach, Großheubach, Miltenberg, Bürgstadt, </t>
        </r>
        <r>
          <rPr>
            <i/>
            <sz val="9"/>
            <color indexed="81"/>
            <rFont val="Tahoma"/>
            <family val="2"/>
          </rPr>
          <t>Miltenberg (126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Wenschdorfer Weg (457)</t>
        </r>
        <r>
          <rPr>
            <sz val="9"/>
            <color indexed="81"/>
            <rFont val="Tahoma"/>
            <family val="2"/>
          </rPr>
          <t xml:space="preserve">, Geisenhof, Gottersdorf, </t>
        </r>
        <r>
          <rPr>
            <i/>
            <sz val="9"/>
            <color indexed="81"/>
            <rFont val="Tahoma"/>
            <family val="2"/>
          </rPr>
          <t>Rippberg (Marsbach 216)</t>
        </r>
        <r>
          <rPr>
            <sz val="9"/>
            <color indexed="81"/>
            <rFont val="Tahoma"/>
            <family val="2"/>
          </rPr>
          <t xml:space="preserve">, Linkenmühle, </t>
        </r>
        <r>
          <rPr>
            <b/>
            <sz val="9"/>
            <color indexed="81"/>
            <rFont val="Tahoma"/>
            <family val="2"/>
          </rPr>
          <t>Hornbach (Kreuzung 390)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Eiderbach (285)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Walldürn (Sendemast 440)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Eiderbach (285)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Hornbach (Hochspeicher 425)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Klein-Hornbach (390)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Hambrunn (462 max)</t>
        </r>
        <r>
          <rPr>
            <sz val="9"/>
            <color indexed="81"/>
            <rFont val="Tahoma"/>
            <family val="2"/>
          </rPr>
          <t>, Schneeberg, Amorbach, Weilbach, Breitendiel</t>
        </r>
      </text>
    </comment>
    <comment ref="G5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family val="2"/>
          </rPr>
          <t xml:space="preserve">
323 Miltenberg - Wenschdorf
170 Rippberg - Hornbach
155 Eiderbach - Walldürn
177 Eiderbach - Hambrunn</t>
        </r>
      </text>
    </comment>
    <comment ref="A6" authorId="1">
      <text>
        <r>
          <rPr>
            <sz val="9"/>
            <color indexed="81"/>
            <rFont val="Tahoma"/>
            <charset val="1"/>
          </rPr>
          <t xml:space="preserve">Radweg Großheubach - </t>
        </r>
        <r>
          <rPr>
            <i/>
            <sz val="9"/>
            <color indexed="81"/>
            <rFont val="Tahoma"/>
            <family val="2"/>
          </rPr>
          <t>Röllfeld (122 min)</t>
        </r>
        <r>
          <rPr>
            <sz val="9"/>
            <color indexed="81"/>
            <rFont val="Tahoma"/>
            <charset val="1"/>
          </rPr>
          <t xml:space="preserve">, Röllbach, Schmachtenberg, </t>
        </r>
        <r>
          <rPr>
            <b/>
            <sz val="9"/>
            <color indexed="81"/>
            <rFont val="Tahoma"/>
            <family val="2"/>
          </rPr>
          <t>Bisch-Berg (300)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Galgenberg (315)</t>
        </r>
        <r>
          <rPr>
            <sz val="9"/>
            <color indexed="81"/>
            <rFont val="Tahoma"/>
            <charset val="1"/>
          </rPr>
          <t xml:space="preserve">, Streit, Schippach, </t>
        </r>
        <r>
          <rPr>
            <i/>
            <sz val="9"/>
            <color indexed="81"/>
            <rFont val="Tahoma"/>
            <family val="2"/>
          </rPr>
          <t>Elsenfeld vorbei (125)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Bildeckhöhe (348 max)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Eichelsbach, </t>
        </r>
        <r>
          <rPr>
            <i/>
            <sz val="9"/>
            <color indexed="81"/>
            <rFont val="Tahoma"/>
            <family val="2"/>
          </rPr>
          <t>Eschau (158)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Streiterbild (303)</t>
        </r>
        <r>
          <rPr>
            <sz val="9"/>
            <color indexed="81"/>
            <rFont val="Tahoma"/>
            <charset val="1"/>
          </rPr>
          <t xml:space="preserve">, Wendelinuskapelle, Mönchberg vorbei, </t>
        </r>
        <r>
          <rPr>
            <i/>
            <sz val="9"/>
            <color indexed="81"/>
            <rFont val="Tahoma"/>
            <family val="2"/>
          </rPr>
          <t>Röllbach (215)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Rosshof-Pass (281)</t>
        </r>
        <r>
          <rPr>
            <sz val="9"/>
            <color indexed="81"/>
            <rFont val="Tahoma"/>
            <charset val="1"/>
          </rPr>
          <t xml:space="preserve">, Großheubach Frankenring, Kreisel, Radweg
</t>
        </r>
        <r>
          <rPr>
            <sz val="8"/>
            <color indexed="81"/>
            <rFont val="Tahoma"/>
            <family val="2"/>
          </rPr>
          <t xml:space="preserve">Sonntag 2015-07-12, 7:30 - 10:35 (3:05 brutto, 5 min Pause), Start 18 °C, Ende 25 °C
</t>
        </r>
        <r>
          <rPr>
            <sz val="7"/>
            <color indexed="81"/>
            <rFont val="Tahoma"/>
            <family val="2"/>
          </rPr>
          <t>7:30 MESZ: Gute Startzeit; MR vermeiden</t>
        </r>
      </text>
    </comment>
    <comment ref="F6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Bildeckhöhe</t>
        </r>
      </text>
    </comment>
    <comment ref="G6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family val="2"/>
          </rPr>
          <t xml:space="preserve">
177 Röllfeld - Bischberg
105 Bergwerk - Galgenberg
223 Elsenfeld - Bildeckhöhe
150 Eschau - Streit
066 Röllbach - Rosshof-Pass</t>
        </r>
      </text>
    </comment>
    <comment ref="A7" authorId="1">
      <text>
        <r>
          <rPr>
            <i/>
            <sz val="9"/>
            <color indexed="81"/>
            <rFont val="Tahoma"/>
            <family val="2"/>
          </rPr>
          <t>Miltenberg (127 min)</t>
        </r>
        <r>
          <rPr>
            <sz val="9"/>
            <color indexed="81"/>
            <rFont val="Tahoma"/>
            <family val="2"/>
          </rPr>
          <t xml:space="preserve">, Eichenbühl, </t>
        </r>
        <r>
          <rPr>
            <b/>
            <sz val="9"/>
            <color indexed="81"/>
            <rFont val="Tahoma"/>
            <family val="2"/>
          </rPr>
          <t>Neunkirchen (364)</t>
        </r>
        <r>
          <rPr>
            <sz val="9"/>
            <color indexed="81"/>
            <rFont val="Tahoma"/>
            <family val="2"/>
          </rPr>
          <t xml:space="preserve">, Tiefental, Hundheim, Ernsthof, Dörlesberg, Sachsenhausen, </t>
        </r>
        <r>
          <rPr>
            <i/>
            <sz val="9"/>
            <color indexed="81"/>
            <rFont val="Tahoma"/>
            <family val="2"/>
          </rPr>
          <t>Reichholzheim (150)</t>
        </r>
        <r>
          <rPr>
            <sz val="9"/>
            <color indexed="81"/>
            <rFont val="Tahoma"/>
            <family val="2"/>
          </rPr>
          <t xml:space="preserve">, Bronnbach, Külsheim, </t>
        </r>
        <r>
          <rPr>
            <b/>
            <sz val="9"/>
            <color indexed="81"/>
            <rFont val="Tahoma"/>
            <family val="2"/>
          </rPr>
          <t>Höhe (395 max)</t>
        </r>
        <r>
          <rPr>
            <sz val="9"/>
            <color indexed="81"/>
            <rFont val="Tahoma"/>
            <family val="2"/>
          </rPr>
          <t xml:space="preserve">, Steinbach, Hundheim, Tiefental, Neunkirchen, Eichenbühl, Bürgstadt, </t>
        </r>
        <r>
          <rPr>
            <i/>
            <sz val="9"/>
            <color indexed="81"/>
            <rFont val="Tahoma"/>
            <family val="2"/>
          </rPr>
          <t>Miltenberg (130)</t>
        </r>
        <r>
          <rPr>
            <sz val="9"/>
            <color indexed="81"/>
            <rFont val="Tahoma"/>
            <family val="2"/>
          </rPr>
          <t xml:space="preserve">, Großheubach, Kleinheubach
</t>
        </r>
        <r>
          <rPr>
            <sz val="8"/>
            <color indexed="81"/>
            <rFont val="Tahoma"/>
            <family val="2"/>
          </rPr>
          <t>Karfreitag 2011-04-22, 7:15 - 10:30 (3:15 brutto, 5 min Pause), Start 8 °C, Ende 21 °C</t>
        </r>
      </text>
    </comment>
    <comment ref="F7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Feldweg vor Steinbach</t>
        </r>
      </text>
    </comment>
    <comment ref="G7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charset val="1"/>
          </rPr>
          <t xml:space="preserve">
237 Miltenberg - Neunkirchen
245 Reichholzheim - Steinbach</t>
        </r>
      </text>
    </comment>
    <comment ref="A8" authorId="0">
      <text>
        <r>
          <rPr>
            <sz val="9"/>
            <color indexed="81"/>
            <rFont val="Tahoma"/>
            <family val="2"/>
          </rPr>
          <t xml:space="preserve">Breitendiel, Weilbach, Amorbach, Beuchen, Steinbach, Mudau, </t>
        </r>
        <r>
          <rPr>
            <b/>
            <sz val="9"/>
            <color indexed="81"/>
            <rFont val="Tahoma"/>
            <family val="2"/>
          </rPr>
          <t>Schloßau (530)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family val="2"/>
          </rPr>
          <t xml:space="preserve">, Hesselbach, </t>
        </r>
        <r>
          <rPr>
            <b/>
            <sz val="9"/>
            <color indexed="81"/>
            <rFont val="Tahoma"/>
            <family val="2"/>
          </rPr>
          <t>Würzberg (544 max)</t>
        </r>
        <r>
          <rPr>
            <sz val="9"/>
            <color indexed="81"/>
            <rFont val="Tahoma"/>
            <family val="2"/>
          </rPr>
          <t xml:space="preserve">, Haingrund, Seckmauern, </t>
        </r>
        <r>
          <rPr>
            <i/>
            <sz val="9"/>
            <color indexed="81"/>
            <rFont val="Tahoma"/>
            <family val="2"/>
          </rPr>
          <t>Wörth (120 min)</t>
        </r>
        <r>
          <rPr>
            <sz val="9"/>
            <color indexed="81"/>
            <rFont val="Tahoma"/>
            <family val="2"/>
          </rPr>
          <t xml:space="preserve">, Erlenbach, </t>
        </r>
        <r>
          <rPr>
            <b/>
            <sz val="9"/>
            <color indexed="81"/>
            <rFont val="Tahoma"/>
            <family val="2"/>
          </rPr>
          <t>Mechenhard (300)</t>
        </r>
        <r>
          <rPr>
            <sz val="9"/>
            <color indexed="81"/>
            <rFont val="Tahoma"/>
            <family val="2"/>
          </rPr>
          <t>, Schmachtenberg, Röllbach, Großheubach, Kleinheubach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Min Höhe 122 (Wörth)
Max Höhe 544 (Würzberg)</t>
        </r>
      </text>
    </comment>
    <comment ref="G8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charset val="1"/>
          </rPr>
          <t xml:space="preserve">
293 Amorbach - Beuchen
180 Wörth - Mechenhart</t>
        </r>
      </text>
    </comment>
    <comment ref="A9" authorId="1">
      <text>
        <r>
          <rPr>
            <sz val="9"/>
            <color indexed="81"/>
            <rFont val="Tahoma"/>
            <family val="2"/>
          </rPr>
          <t xml:space="preserve">Weilbach, Amorbach, Kirchzell, Ottorfszell, Ernsttal, </t>
        </r>
        <r>
          <rPr>
            <b/>
            <sz val="9"/>
            <color indexed="81"/>
            <rFont val="Tahoma"/>
            <family val="2"/>
          </rPr>
          <t>Seizenbuche (460)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Kailbach (230)</t>
        </r>
        <r>
          <rPr>
            <sz val="9"/>
            <color indexed="81"/>
            <rFont val="Tahoma"/>
            <family val="2"/>
          </rPr>
          <t xml:space="preserve">, Schöllenbach, Hesselbach (480), </t>
        </r>
        <r>
          <rPr>
            <b/>
            <sz val="9"/>
            <color indexed="81"/>
            <rFont val="Tahoma"/>
            <family val="2"/>
          </rPr>
          <t>Würzberg (544 max)</t>
        </r>
        <r>
          <rPr>
            <sz val="9"/>
            <color indexed="81"/>
            <rFont val="Tahoma"/>
            <family val="2"/>
          </rPr>
          <t xml:space="preserve">, Vielbrunn, Laudenbach, Kleinheubach (Rüdenauer Straße)
</t>
        </r>
        <r>
          <rPr>
            <sz val="8"/>
            <color indexed="81"/>
            <rFont val="Tahoma"/>
            <family val="2"/>
          </rPr>
          <t>Sonntag 2015-08-09, 6:55 - 10:10 (5 Min. Pause), 21 - 28 °C, bedeckt, 1.5ℓ</t>
        </r>
      </text>
    </comment>
    <comment ref="F9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Mies (Würzberg)</t>
        </r>
      </text>
    </comment>
    <comment ref="G9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Hauptanstiege, viele Wellen</t>
        </r>
        <r>
          <rPr>
            <sz val="9"/>
            <color indexed="81"/>
            <rFont val="Tahoma"/>
            <charset val="1"/>
          </rPr>
          <t xml:space="preserve">
330 Miltenberg - Seizenbuche
250 Kailbach - Hesselbach</t>
        </r>
      </text>
    </comment>
    <comment ref="J9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Sehr gut</t>
        </r>
        <r>
          <rPr>
            <sz val="9"/>
            <color indexed="81"/>
            <rFont val="Tahoma"/>
            <family val="2"/>
          </rPr>
          <t xml:space="preserve"> bis Würzberg</t>
        </r>
      </text>
    </comment>
    <comment ref="A10" authorId="0">
      <text>
        <r>
          <rPr>
            <sz val="9"/>
            <color indexed="81"/>
            <rFont val="Tahoma"/>
            <charset val="1"/>
          </rPr>
          <t xml:space="preserve">Breitendiel, Weilbach, Amorbach, Neudorf, Reichartshausen, </t>
        </r>
        <r>
          <rPr>
            <b/>
            <sz val="9"/>
            <color indexed="81"/>
            <rFont val="Tahoma"/>
            <family val="2"/>
          </rPr>
          <t>Wenschdorf (455)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Schippach, Windischbuchen, </t>
        </r>
        <r>
          <rPr>
            <i/>
            <sz val="9"/>
            <color indexed="81"/>
            <rFont val="Tahoma"/>
            <family val="2"/>
          </rPr>
          <t>Schulzenmühle (230),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Kaltenbrunn (411)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u/>
            <sz val="9"/>
            <color indexed="81"/>
            <rFont val="Tahoma"/>
            <family val="2"/>
          </rPr>
          <t>(19% max Steigung auf 2,8 km)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Reinhardsachsen (295),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Geisenhof (447)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Reichartshausen (398)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Neudorf (Sendeturm 462 max),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>Amorbach, Weilbach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Extrem steile Rampe mit 19% in Kaltenbrunn</t>
        </r>
      </text>
    </comment>
    <comment ref="F10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Neudorf Sendemast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 xml:space="preserve">FAN:
</t>
        </r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family val="2"/>
          </rPr>
          <t xml:space="preserve">
286 Amorbach - Neudorf
181 Schulzenmühle - Kaltenbrunn
152 Reinhardsachsen - Geisenhof
064 Reichartshausen - Sendeturm</t>
        </r>
      </text>
    </comment>
    <comment ref="A11" authorId="1">
      <text>
        <r>
          <rPr>
            <sz val="9"/>
            <color indexed="81"/>
            <rFont val="Tahoma"/>
            <charset val="1"/>
          </rPr>
          <t xml:space="preserve">Kleinheubach, </t>
        </r>
        <r>
          <rPr>
            <i/>
            <sz val="9"/>
            <color indexed="81"/>
            <rFont val="Tahoma"/>
            <family val="2"/>
          </rPr>
          <t>Laudenbach (125 min)</t>
        </r>
        <r>
          <rPr>
            <sz val="9"/>
            <color indexed="81"/>
            <rFont val="Tahoma"/>
            <charset val="1"/>
          </rPr>
          <t xml:space="preserve">, Bremhof, </t>
        </r>
        <r>
          <rPr>
            <b/>
            <sz val="9"/>
            <color indexed="81"/>
            <rFont val="Tahoma"/>
            <family val="2"/>
          </rPr>
          <t>Hainhaus (459)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Wende Haingrund (245)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Windlücke (340)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Wende Breitenbrunn (270)</t>
        </r>
        <r>
          <rPr>
            <sz val="9"/>
            <color indexed="81"/>
            <rFont val="Tahoma"/>
            <charset val="1"/>
          </rPr>
          <t xml:space="preserve">, Hainhaus, </t>
        </r>
        <r>
          <rPr>
            <b/>
            <sz val="9"/>
            <color indexed="81"/>
            <rFont val="Tahoma"/>
            <family val="2"/>
          </rPr>
          <t>Limesturm (461)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Wende Kimbach Friedhof (370)</t>
        </r>
        <r>
          <rPr>
            <sz val="9"/>
            <color indexed="81"/>
            <rFont val="Tahoma"/>
            <charset val="1"/>
          </rPr>
          <t xml:space="preserve">, Vielbrunn, </t>
        </r>
        <r>
          <rPr>
            <b/>
            <sz val="9"/>
            <color indexed="81"/>
            <rFont val="Tahoma"/>
            <family val="2"/>
          </rPr>
          <t>Wende Eulbach Englischer Garten (516 max)</t>
        </r>
        <r>
          <rPr>
            <sz val="9"/>
            <color indexed="81"/>
            <rFont val="Tahoma"/>
            <charset val="1"/>
          </rPr>
          <t xml:space="preserve">, Vielbrunn, Geyersmühle, Ohrnbach, Wiesenthal, Weckbach, Weilbach, Breitendiel
</t>
        </r>
        <r>
          <rPr>
            <sz val="8"/>
            <color indexed="81"/>
            <rFont val="Tahoma"/>
            <family val="2"/>
          </rPr>
          <t>Samstag 2011-04-09, Start 10:00, 12 - 17 °C, Sonnig</t>
        </r>
      </text>
    </comment>
    <comment ref="F11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Eulbach (Englischer Garten)</t>
        </r>
      </text>
    </comment>
    <comment ref="A12" authorId="1">
      <text>
        <r>
          <rPr>
            <sz val="9"/>
            <color indexed="81"/>
            <rFont val="Tahoma"/>
            <charset val="1"/>
          </rPr>
          <t xml:space="preserve">Miltenberg - Eschau: Radweg; Wildensteiner Str., Münzenberg, Wegzeichen "Schwarzkittel" bis Waldrand, Geishöhe (521), </t>
        </r>
        <r>
          <rPr>
            <b/>
            <sz val="9"/>
            <color indexed="81"/>
            <rFont val="Tahoma"/>
            <family val="2"/>
          </rPr>
          <t xml:space="preserve">Ludwig-Keller-Turm (535 max)
</t>
        </r>
        <r>
          <rPr>
            <sz val="8"/>
            <color indexed="81"/>
            <rFont val="Tahoma"/>
            <family val="2"/>
          </rPr>
          <t>1ℓ min.</t>
        </r>
      </text>
    </comment>
    <comment ref="F12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535 Ludwig-Keller-Turm</t>
        </r>
      </text>
    </comment>
    <comment ref="G12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Eschau - Geishöhe</t>
        </r>
      </text>
    </comment>
    <comment ref="A13" authorId="0">
      <text>
        <r>
          <rPr>
            <sz val="9"/>
            <color indexed="81"/>
            <rFont val="Tahoma"/>
            <charset val="1"/>
          </rPr>
          <t xml:space="preserve">Kleinheubach, Großheubach, </t>
        </r>
        <r>
          <rPr>
            <b/>
            <sz val="9"/>
            <color indexed="81"/>
            <rFont val="Tahoma"/>
            <family val="2"/>
          </rPr>
          <t>Geisenhof (447)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Reichartshausen, Neudorf, </t>
        </r>
        <r>
          <rPr>
            <i/>
            <sz val="9"/>
            <color indexed="81"/>
            <rFont val="Tahoma"/>
            <family val="2"/>
          </rPr>
          <t>Schneeberg (170),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Hambrunn (462 max),</t>
        </r>
        <r>
          <rPr>
            <sz val="9"/>
            <color indexed="81"/>
            <rFont val="Tahoma"/>
            <charset val="1"/>
          </rPr>
          <t xml:space="preserve"> Hornbach, </t>
        </r>
        <r>
          <rPr>
            <sz val="9"/>
            <color indexed="81"/>
            <rFont val="Tahoma"/>
            <family val="2"/>
          </rPr>
          <t>Hainstadt,</t>
        </r>
        <r>
          <rPr>
            <sz val="9"/>
            <color indexed="81"/>
            <rFont val="Tahoma"/>
            <charset val="1"/>
          </rPr>
          <t xml:space="preserve"> Buchen, Hettigenbeuern, Zittenfelden, Schneeberg, Amorbach, Weilbach</t>
        </r>
      </text>
    </comment>
    <comment ref="F13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Hinter Hambrunn im Wald</t>
        </r>
      </text>
    </comment>
    <comment ref="G13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Miltenberg - Wenschdorf</t>
        </r>
      </text>
    </comment>
    <comment ref="A14" authorId="1">
      <text>
        <r>
          <rPr>
            <sz val="9"/>
            <color indexed="81"/>
            <rFont val="Tahoma"/>
            <family val="2"/>
          </rPr>
          <t>Großheubach,</t>
        </r>
        <r>
          <rPr>
            <i/>
            <sz val="9"/>
            <color indexed="81"/>
            <rFont val="Tahoma"/>
            <family val="2"/>
          </rPr>
          <t xml:space="preserve"> Röllfeld (123 min)</t>
        </r>
        <r>
          <rPr>
            <sz val="9"/>
            <color indexed="81"/>
            <rFont val="Tahoma"/>
            <family val="2"/>
          </rPr>
          <t>, Röllbach, Schmachtenberg,</t>
        </r>
        <r>
          <rPr>
            <b/>
            <sz val="9"/>
            <color indexed="81"/>
            <rFont val="Tahoma"/>
            <family val="2"/>
          </rPr>
          <t xml:space="preserve"> Bisch-Berg (300) [</t>
        </r>
        <r>
          <rPr>
            <b/>
            <u/>
            <sz val="9"/>
            <color indexed="81"/>
            <rFont val="Tahoma"/>
            <family val="2"/>
          </rPr>
          <t>P</t>
        </r>
        <r>
          <rPr>
            <b/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Galgenberg (315)</t>
        </r>
        <r>
          <rPr>
            <sz val="9"/>
            <color indexed="81"/>
            <rFont val="Tahoma"/>
            <family val="2"/>
          </rPr>
          <t xml:space="preserve">, Streit, Schippach, </t>
        </r>
        <r>
          <rPr>
            <i/>
            <sz val="9"/>
            <color indexed="81"/>
            <rFont val="Tahoma"/>
            <family val="2"/>
          </rPr>
          <t>Elsenfeld vorbei (125)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Bildeckhöhe (348 max) [</t>
        </r>
        <r>
          <rPr>
            <b/>
            <u/>
            <sz val="9"/>
            <color indexed="81"/>
            <rFont val="Tahoma"/>
            <family val="2"/>
          </rPr>
          <t>P</t>
        </r>
        <r>
          <rPr>
            <b/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family val="2"/>
          </rPr>
          <t xml:space="preserve">, Eichelsbach, </t>
        </r>
        <r>
          <rPr>
            <i/>
            <sz val="9"/>
            <color indexed="81"/>
            <rFont val="Tahoma"/>
            <family val="2"/>
          </rPr>
          <t>Eschau (158)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Streiterbild (303)</t>
        </r>
        <r>
          <rPr>
            <sz val="9"/>
            <color indexed="81"/>
            <rFont val="Tahoma"/>
            <family val="2"/>
          </rPr>
          <t xml:space="preserve">, Wendelinuskapelle, Mönchberg vorbei, Großheubach
</t>
        </r>
        <r>
          <rPr>
            <sz val="8"/>
            <color indexed="81"/>
            <rFont val="Tahoma"/>
            <family val="2"/>
          </rPr>
          <t xml:space="preserve">Samstag 2011-03-12, 10:00 - 13:00 (3:00 brutto, 5 min Pause), Start 5 °C, Ende 16 °C
Mariä Himmelfahrt 2013-08-15, 7:45 - 10:35 (2:50 br, 6 min P), Start 10 °C, Ende 20 °C, Ø 22.8
Sonntag 2014-03-30, 9:00 - 11:50 (2:50 br, 10 min P), Start 4 °C, Ende 17 °C, Ø 22.8, </t>
        </r>
        <r>
          <rPr>
            <i/>
            <sz val="8"/>
            <color indexed="81"/>
            <rFont val="Tahoma"/>
            <family val="2"/>
          </rPr>
          <t>8:00 Maximal!</t>
        </r>
      </text>
    </comment>
    <comment ref="F14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Bildeckhöhe</t>
        </r>
      </text>
    </comment>
    <comment ref="G14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charset val="1"/>
          </rPr>
          <t xml:space="preserve">
177 Röllfeld - Bischberg
105 Bergwerk - Galgenberg
223 Elsenfeld - Bildeckhöhe
150 Eschau - Streit</t>
        </r>
      </text>
    </comment>
    <comment ref="A15" authorId="1">
      <text>
        <r>
          <rPr>
            <u/>
            <sz val="9"/>
            <color indexed="81"/>
            <rFont val="Tahoma"/>
            <family val="2"/>
          </rPr>
          <t>Keine Ortsberührungen, nur Waldwege, 0% Asphalt!</t>
        </r>
        <r>
          <rPr>
            <sz val="9"/>
            <color indexed="81"/>
            <rFont val="Tahoma"/>
            <family val="2"/>
          </rPr>
          <t xml:space="preserve">
Springerquelle, rotes Bild, Aspenweg, </t>
        </r>
        <r>
          <rPr>
            <b/>
            <sz val="9"/>
            <color indexed="81"/>
            <rFont val="Tahoma"/>
            <family val="2"/>
          </rPr>
          <t>Rauschen (456)</t>
        </r>
        <r>
          <rPr>
            <sz val="9"/>
            <color indexed="81"/>
            <rFont val="Tahoma"/>
            <family val="2"/>
          </rPr>
          <t xml:space="preserve">, Linie, Dreistein, Brandschneise, </t>
        </r>
        <r>
          <rPr>
            <i/>
            <sz val="9"/>
            <color indexed="81"/>
            <rFont val="Tahoma"/>
            <family val="2"/>
          </rPr>
          <t>Wende Asphalt (231)</t>
        </r>
      </text>
    </comment>
    <comment ref="F15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Rauschen</t>
        </r>
      </text>
    </comment>
    <comment ref="G15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Hauptanstiege, viele Wellen</t>
        </r>
        <r>
          <rPr>
            <sz val="9"/>
            <color indexed="81"/>
            <rFont val="Tahoma"/>
            <charset val="1"/>
          </rPr>
          <t xml:space="preserve">
327 Miltenberg - Rauschen
225 Trennfurt - Rauschen</t>
        </r>
      </text>
    </comment>
    <comment ref="A16" authorId="0">
      <text>
        <r>
          <rPr>
            <sz val="9"/>
            <color indexed="81"/>
            <rFont val="Tahoma"/>
            <charset val="1"/>
          </rPr>
          <t xml:space="preserve">Radweg, Promilleweg, Martinsbrücke, Bürgstadt, </t>
        </r>
        <r>
          <rPr>
            <b/>
            <sz val="9"/>
            <color indexed="81"/>
            <rFont val="Tahoma"/>
            <family val="2"/>
          </rPr>
          <t>Wannenberg (Gipfelkreuz 482 max),</t>
        </r>
        <r>
          <rPr>
            <sz val="9"/>
            <color indexed="81"/>
            <rFont val="Tahoma"/>
            <charset val="1"/>
          </rPr>
          <t xml:space="preserve"> Raiffeisenring-Überführung, Wenschdorfer Steige, Ringwall, </t>
        </r>
        <r>
          <rPr>
            <b/>
            <sz val="9"/>
            <color indexed="81"/>
            <rFont val="Tahoma"/>
            <family val="2"/>
          </rPr>
          <t>Kohlplatte (Sendeturm 481),</t>
        </r>
        <r>
          <rPr>
            <sz val="9"/>
            <color indexed="81"/>
            <rFont val="Tahoma"/>
            <charset val="1"/>
          </rPr>
          <t xml:space="preserve"> Monbrunn, </t>
        </r>
        <r>
          <rPr>
            <b/>
            <sz val="9"/>
            <color indexed="81"/>
            <rFont val="Tahoma"/>
            <family val="2"/>
          </rPr>
          <t>Geißbuckel (454)</t>
        </r>
      </text>
    </comment>
    <comment ref="F16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485 Kohlplatte Wasserhaus</t>
        </r>
      </text>
    </comment>
    <comment ref="G16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Bürgstadt - Wenschdorf</t>
        </r>
      </text>
    </comment>
    <comment ref="A17" authorId="2">
      <text>
        <r>
          <rPr>
            <sz val="9"/>
            <color indexed="81"/>
            <rFont val="Tahoma"/>
            <family val="2"/>
          </rPr>
          <t xml:space="preserve">Kleinheubach, Laudenbach, Eulbach (516), </t>
        </r>
        <r>
          <rPr>
            <b/>
            <sz val="9"/>
            <color indexed="81"/>
            <rFont val="Tahoma"/>
            <family val="2"/>
          </rPr>
          <t>Würzberg (544 max)</t>
        </r>
        <r>
          <rPr>
            <sz val="9"/>
            <color indexed="81"/>
            <rFont val="Tahoma"/>
            <family val="2"/>
          </rPr>
          <t xml:space="preserve">, Frankfurter Tor (527), Kolli (500), Hohe Straße (530), Schloßau, Mudau, Steinbach, Beuchen, Amorbach, Weilbach
</t>
        </r>
        <r>
          <rPr>
            <sz val="8"/>
            <color indexed="81"/>
            <rFont val="Tahoma"/>
            <family val="2"/>
          </rPr>
          <t>Sa 2019-08-31 7:30 - 10:45 18 °C - 25 °C, 1.5 l</t>
        </r>
      </text>
    </comment>
    <comment ref="A18" authorId="0">
      <text>
        <r>
          <rPr>
            <i/>
            <sz val="9"/>
            <color indexed="81"/>
            <rFont val="Tahoma"/>
            <family val="2"/>
          </rPr>
          <t>Kleinheubach (130 min),</t>
        </r>
        <r>
          <rPr>
            <sz val="9"/>
            <color indexed="81"/>
            <rFont val="Tahoma"/>
            <family val="2"/>
          </rPr>
          <t xml:space="preserve"> Laudenbach, Bremhof, </t>
        </r>
        <r>
          <rPr>
            <b/>
            <sz val="9"/>
            <color indexed="81"/>
            <rFont val="Tahoma"/>
            <family val="2"/>
          </rPr>
          <t>Hainhaus (459),</t>
        </r>
        <r>
          <rPr>
            <sz val="9"/>
            <color indexed="81"/>
            <rFont val="Tahoma"/>
            <family val="2"/>
          </rPr>
          <t xml:space="preserve"> Haingrund </t>
        </r>
        <r>
          <rPr>
            <i/>
            <sz val="9"/>
            <color indexed="81"/>
            <rFont val="Tahoma"/>
            <family val="2"/>
          </rPr>
          <t>(Wende 245),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Windlücke (340),</t>
        </r>
        <r>
          <rPr>
            <sz val="9"/>
            <color indexed="81"/>
            <rFont val="Tahoma"/>
            <family val="2"/>
          </rPr>
          <t xml:space="preserve"> Breitenbrunn </t>
        </r>
        <r>
          <rPr>
            <i/>
            <sz val="9"/>
            <color indexed="81"/>
            <rFont val="Tahoma"/>
            <family val="2"/>
          </rPr>
          <t>(Wende 270),</t>
        </r>
        <r>
          <rPr>
            <sz val="9"/>
            <color indexed="81"/>
            <rFont val="Tahoma"/>
            <family val="2"/>
          </rPr>
          <t xml:space="preserve"> Hainhaus, </t>
        </r>
        <r>
          <rPr>
            <b/>
            <sz val="9"/>
            <color indexed="81"/>
            <rFont val="Tahoma"/>
            <family val="2"/>
          </rPr>
          <t>Limesturm (461 max),</t>
        </r>
        <r>
          <rPr>
            <sz val="9"/>
            <color indexed="81"/>
            <rFont val="Tahoma"/>
            <family val="2"/>
          </rPr>
          <t xml:space="preserve"> Kimbach </t>
        </r>
        <r>
          <rPr>
            <i/>
            <sz val="9"/>
            <color indexed="81"/>
            <rFont val="Tahoma"/>
            <family val="2"/>
          </rPr>
          <t>(Wende 370),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Vielbrunn (461),</t>
        </r>
        <r>
          <rPr>
            <sz val="9"/>
            <color indexed="81"/>
            <rFont val="Tahoma"/>
            <family val="2"/>
          </rPr>
          <t xml:space="preserve"> Geyersmühle, Ohrnbach, Wiesenthal, Weckbach, Weilbach, Breitendiel</t>
        </r>
      </text>
    </comment>
    <comment ref="F18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Limesturm (Hainhaus)</t>
        </r>
      </text>
    </comment>
    <comment ref="G18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Laudenbach - Bremhof</t>
        </r>
      </text>
    </comment>
    <comment ref="A19" authorId="0">
      <text>
        <r>
          <rPr>
            <sz val="9"/>
            <color indexed="81"/>
            <rFont val="Tahoma"/>
            <family val="2"/>
          </rPr>
          <t xml:space="preserve">Hartungsweg, </t>
        </r>
        <r>
          <rPr>
            <b/>
            <sz val="9"/>
            <color indexed="81"/>
            <rFont val="Tahoma"/>
            <family val="2"/>
          </rPr>
          <t>Geisbuckel,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Kohlplatte (481 max),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Tannenschlag,</t>
        </r>
        <r>
          <rPr>
            <sz val="9"/>
            <color indexed="81"/>
            <rFont val="Tahoma"/>
            <family val="2"/>
          </rPr>
          <t xml:space="preserve"> Eichenbühl, Schippach, Wenschdorf, </t>
        </r>
        <r>
          <rPr>
            <b/>
            <sz val="9"/>
            <color indexed="81"/>
            <rFont val="Tahoma"/>
            <family val="2"/>
          </rPr>
          <t>Höschhecken</t>
        </r>
        <r>
          <rPr>
            <sz val="9"/>
            <color indexed="81"/>
            <rFont val="Tahoma"/>
            <family val="2"/>
          </rPr>
          <t>, Reuenthal, Weilbach, Breitendiel</t>
        </r>
      </text>
    </comment>
    <comment ref="G19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(Mud) - Geisbuckel</t>
        </r>
      </text>
    </comment>
    <comment ref="A20" authorId="1">
      <text>
        <r>
          <rPr>
            <b/>
            <u/>
            <sz val="9"/>
            <color indexed="81"/>
            <rFont val="Tahoma"/>
            <family val="2"/>
          </rPr>
          <t>Ortsvermeidend</t>
        </r>
        <r>
          <rPr>
            <sz val="9"/>
            <color indexed="81"/>
            <rFont val="Tahoma"/>
            <family val="2"/>
          </rPr>
          <t xml:space="preserve">
Miltenberg - Riedern: Radweg </t>
        </r>
        <r>
          <rPr>
            <i/>
            <sz val="9"/>
            <color indexed="81"/>
            <rFont val="Tahoma"/>
            <family val="2"/>
          </rPr>
          <t>(128 min)</t>
        </r>
        <r>
          <rPr>
            <sz val="9"/>
            <color indexed="81"/>
            <rFont val="Tahoma"/>
            <family val="2"/>
          </rPr>
          <t xml:space="preserve">, Guggenberg Landesgrenze </t>
        </r>
        <r>
          <rPr>
            <b/>
            <sz val="9"/>
            <color indexed="81"/>
            <rFont val="Tahoma"/>
            <family val="2"/>
          </rPr>
          <t>(406)</t>
        </r>
        <r>
          <rPr>
            <sz val="9"/>
            <color indexed="81"/>
            <rFont val="Tahoma"/>
            <family val="2"/>
          </rPr>
          <t xml:space="preserve">, Rütschdorf, Dornberg, Schlempertshof, </t>
        </r>
        <r>
          <rPr>
            <i/>
            <sz val="9"/>
            <color indexed="81"/>
            <rFont val="Tahoma"/>
            <family val="2"/>
          </rPr>
          <t>Lochbach (350)</t>
        </r>
        <r>
          <rPr>
            <sz val="9"/>
            <color indexed="81"/>
            <rFont val="Tahoma"/>
            <family val="2"/>
          </rPr>
          <t xml:space="preserve">, Höpfingen, Hohe Buche </t>
        </r>
        <r>
          <rPr>
            <b/>
            <sz val="9"/>
            <color indexed="81"/>
            <rFont val="Tahoma"/>
            <family val="2"/>
          </rPr>
          <t>(440)</t>
        </r>
        <r>
          <rPr>
            <sz val="9"/>
            <color indexed="81"/>
            <rFont val="Tahoma"/>
            <family val="2"/>
          </rPr>
          <t xml:space="preserve">, Weißer Kreuzschlag </t>
        </r>
        <r>
          <rPr>
            <b/>
            <sz val="9"/>
            <color indexed="81"/>
            <rFont val="Tahoma"/>
            <family val="2"/>
          </rPr>
          <t>(443)</t>
        </r>
        <r>
          <rPr>
            <sz val="9"/>
            <color indexed="81"/>
            <rFont val="Tahoma"/>
            <family val="2"/>
          </rPr>
          <t xml:space="preserve">, Windlücke </t>
        </r>
        <r>
          <rPr>
            <i/>
            <sz val="9"/>
            <color indexed="81"/>
            <rFont val="Tahoma"/>
            <family val="2"/>
          </rPr>
          <t>(380)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Geisenhof-Pass (457 max)</t>
        </r>
        <r>
          <rPr>
            <sz val="9"/>
            <color indexed="81"/>
            <rFont val="Tahoma"/>
            <family val="2"/>
          </rPr>
          <t xml:space="preserve">, Miltenberg
</t>
        </r>
        <r>
          <rPr>
            <sz val="8"/>
            <color indexed="81"/>
            <rFont val="Tahoma"/>
            <family val="2"/>
          </rPr>
          <t>Sonntag 30.10.2016, 8:30 - 11:15, 4 °C - 10 °C, Neblig - Sonnig, 0.75 l</t>
        </r>
      </text>
    </comment>
    <comment ref="A21" authorId="1">
      <text>
        <r>
          <rPr>
            <sz val="9"/>
            <color indexed="81"/>
            <rFont val="Tahoma"/>
            <family val="2"/>
          </rPr>
          <t xml:space="preserve">Miltenberg - Hardheim: Radweg </t>
        </r>
        <r>
          <rPr>
            <i/>
            <sz val="9"/>
            <color indexed="81"/>
            <rFont val="Tahoma"/>
            <family val="2"/>
          </rPr>
          <t>(127 min</t>
        </r>
        <r>
          <rPr>
            <sz val="9"/>
            <color indexed="81"/>
            <rFont val="Tahoma"/>
            <family val="2"/>
          </rPr>
          <t xml:space="preserve">), Hardheim - Höpfingen: Pilgerweg, </t>
        </r>
        <r>
          <rPr>
            <b/>
            <sz val="9"/>
            <color indexed="81"/>
            <rFont val="Tahoma"/>
            <family val="2"/>
          </rPr>
          <t>Königheimer Höflein (415 max)</t>
        </r>
        <r>
          <rPr>
            <sz val="9"/>
            <color indexed="81"/>
            <rFont val="Tahoma"/>
            <family val="2"/>
          </rPr>
          <t xml:space="preserve">, Walldürn, Rippberg, Schneeberg, Amorbach, Weilbach, Breitendiel
</t>
        </r>
        <r>
          <rPr>
            <sz val="8"/>
            <color indexed="81"/>
            <rFont val="Tahoma"/>
            <family val="2"/>
          </rPr>
          <t>Sonntag 2015-09-20, 8:05 - 11:20 (3:15 brutto, 5 min Pause) 13 - 15 °C, Hochnebel
Alternative Ohne Walldürn, durch Großen Wald + 25 Hm</t>
        </r>
      </text>
    </comment>
    <comment ref="F21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Höpfingen</t>
        </r>
      </text>
    </comment>
    <comment ref="G21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b/>
            <u/>
            <sz val="9"/>
            <color indexed="81"/>
            <rFont val="Tahoma"/>
            <family val="2"/>
          </rPr>
          <t xml:space="preserve">
1 Anstieg sehr viele Wellen</t>
        </r>
        <r>
          <rPr>
            <sz val="9"/>
            <color indexed="81"/>
            <rFont val="Tahoma"/>
            <charset val="1"/>
          </rPr>
          <t xml:space="preserve">
285 Miltenberg - Höpfingen</t>
        </r>
      </text>
    </comment>
    <comment ref="A22" authorId="1">
      <text>
        <r>
          <rPr>
            <sz val="9"/>
            <color indexed="81"/>
            <rFont val="Tahoma"/>
            <family val="2"/>
          </rPr>
          <t>MR bis Mömlingen</t>
        </r>
        <r>
          <rPr>
            <i/>
            <sz val="9"/>
            <color indexed="81"/>
            <rFont val="Tahoma"/>
            <family val="2"/>
          </rPr>
          <t xml:space="preserve"> (117 min)</t>
        </r>
        <r>
          <rPr>
            <sz val="9"/>
            <color indexed="81"/>
            <rFont val="Tahoma"/>
            <family val="2"/>
          </rPr>
          <t>, km 25 (135), Radweg Hainstadt, &lt;</t>
        </r>
        <r>
          <rPr>
            <i/>
            <sz val="9"/>
            <color indexed="81"/>
            <rFont val="Tahoma"/>
            <family val="2"/>
          </rPr>
          <t>Mümling (145)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>Breuberg (280) [</t>
        </r>
        <r>
          <rPr>
            <b/>
            <u/>
            <sz val="9"/>
            <color indexed="81"/>
            <rFont val="Tahoma"/>
            <family val="2"/>
          </rPr>
          <t>P</t>
        </r>
        <r>
          <rPr>
            <b/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family val="2"/>
          </rPr>
          <t xml:space="preserve">&gt;, Rosenbach, </t>
        </r>
        <r>
          <rPr>
            <i/>
            <sz val="9"/>
            <color indexed="81"/>
            <rFont val="Tahoma"/>
            <family val="2"/>
          </rPr>
          <t>Rai-Breitenbach (147)</t>
        </r>
        <r>
          <rPr>
            <sz val="9"/>
            <color indexed="81"/>
            <rFont val="Tahoma"/>
            <family val="2"/>
          </rPr>
          <t xml:space="preserve">, Mühlhausen (170), </t>
        </r>
        <r>
          <rPr>
            <b/>
            <sz val="9"/>
            <color indexed="81"/>
            <rFont val="Tahoma"/>
            <family val="2"/>
          </rPr>
          <t>Großer Obersberg (310) [</t>
        </r>
        <r>
          <rPr>
            <b/>
            <u/>
            <sz val="9"/>
            <color indexed="81"/>
            <rFont val="Tahoma"/>
            <family val="2"/>
          </rPr>
          <t>P</t>
        </r>
        <r>
          <rPr>
            <b/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Hoffeld (331 max)</t>
        </r>
        <r>
          <rPr>
            <sz val="9"/>
            <color indexed="81"/>
            <rFont val="Tahoma"/>
            <family val="2"/>
          </rPr>
          <t xml:space="preserve">, Schneesberg bis Radweg, MR </t>
        </r>
        <r>
          <rPr>
            <i/>
            <sz val="9"/>
            <color indexed="81"/>
            <rFont val="Tahoma"/>
            <family val="2"/>
          </rPr>
          <t>Wörth (120)</t>
        </r>
        <r>
          <rPr>
            <sz val="9"/>
            <color indexed="81"/>
            <rFont val="Tahoma"/>
            <family val="2"/>
          </rPr>
          <t xml:space="preserve"> - Laudenbach (123), Kleinheubach (140), </t>
        </r>
        <r>
          <rPr>
            <b/>
            <sz val="9"/>
            <color indexed="81"/>
            <rFont val="Tahoma"/>
            <family val="2"/>
          </rPr>
          <t>Heunesäulen (240)</t>
        </r>
        <r>
          <rPr>
            <sz val="9"/>
            <color indexed="81"/>
            <rFont val="Tahoma"/>
            <family val="2"/>
          </rPr>
          <t xml:space="preserve">, Miltenberg 
</t>
        </r>
        <r>
          <rPr>
            <sz val="8"/>
            <color indexed="81"/>
            <rFont val="Tahoma"/>
            <family val="2"/>
          </rPr>
          <t>Original ohne Breuberg mit Straße (keine Heune): 3:01:33 59,0 km 335 Hm; Montag, 2014-12-15, 9:40 - 12:50 (10 Min P), 4 - 8 °C, Sonnig
Normal ohne Breuberg ohne Straße: ~3:20 65,0 km 610 Hm
Max mit Breuberg: Mittwoch, 2015-03-18, 9:45 - 13:30 (10 Min P), 8 - 18 °C, Sonnig, Lang-Lang - Kurz-Kurz</t>
        </r>
      </text>
    </comment>
    <comment ref="F22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Hoffeld</t>
        </r>
      </text>
    </comment>
    <comment ref="G22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viele Wellen</t>
        </r>
        <r>
          <rPr>
            <sz val="9"/>
            <color indexed="81"/>
            <rFont val="Tahoma"/>
            <charset val="1"/>
          </rPr>
          <t xml:space="preserve">
140 Mümling - Breuberg
160 Rai-Breitenbach - Großer Obersberg
100 Kleinheubach - Heunesäulen</t>
        </r>
      </text>
    </comment>
    <comment ref="A23" authorId="2">
      <text>
        <r>
          <rPr>
            <b/>
            <u/>
            <sz val="9"/>
            <color indexed="81"/>
            <rFont val="Tahoma"/>
            <family val="2"/>
          </rPr>
          <t>Lost &amp; Found</t>
        </r>
        <r>
          <rPr>
            <sz val="9"/>
            <color indexed="81"/>
            <rFont val="Tahoma"/>
            <family val="2"/>
          </rPr>
          <t xml:space="preserve">
Weilbach, Boxbrunn, Landesgrenze (504), Eulbach (516), </t>
        </r>
        <r>
          <rPr>
            <b/>
            <sz val="9"/>
            <color indexed="81"/>
            <rFont val="Tahoma"/>
            <family val="2"/>
          </rPr>
          <t>Würzberg (544 max)</t>
        </r>
        <r>
          <rPr>
            <sz val="9"/>
            <color indexed="81"/>
            <rFont val="Tahoma"/>
            <family val="2"/>
          </rPr>
          <t xml:space="preserve">, Frankfurter Tor (527), Kolli (500), Hohe Straße (530), Schloßau, Mudau, Steinbach, Beuchen, Amorbach, Weilbach
</t>
        </r>
        <r>
          <rPr>
            <sz val="8"/>
            <color indexed="81"/>
            <rFont val="Tahoma"/>
            <family val="2"/>
          </rPr>
          <t>So 2018-07-08 6:45 - 9:45 3:00 br. 13 °C - 20 °C, 0.75 l</t>
        </r>
      </text>
    </comment>
    <comment ref="G23" authorId="2">
      <text>
        <r>
          <rPr>
            <sz val="9"/>
            <color indexed="81"/>
            <rFont val="Tahoma"/>
            <family val="2"/>
          </rPr>
          <t>345 Zweibild</t>
        </r>
      </text>
    </comment>
  </commentList>
</comments>
</file>

<file path=xl/comments7.xml><?xml version="1.0" encoding="utf-8"?>
<comments xmlns="http://schemas.openxmlformats.org/spreadsheetml/2006/main">
  <authors>
    <author>FAN</author>
    <author>fan</author>
    <author>HP</author>
  </authors>
  <commentList>
    <comment ref="D1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&gt;= 1000 &lt; 1500</t>
        </r>
      </text>
    </comment>
    <comment ref="F1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G1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Maximaler Hauptanstieg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Häufigkeit
 Gold - Oft gefahren
 Silber - Selten gefahren
 Bronze - Einmal gefahren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Verkehr
 Gold - Wenig Verkehr RR / Wenig Asphalt MTB
 Silber - Normaler Verkehr RR / Hälfte Asphalt MTB
 Bronze - Viel Verkehr RR / Überwiegend Asphalt MTB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Strecke
 Gold - Wenige Kreuzungen RR / Flüssige Wege MTB
 Silber - Einige Kreuzungen RR / Teils Rampen, schlechte Wege MTB
 Bronze - Viele Kreuzungen, Ortsdurchfahrten RR / Steile Rampen, verblockte Wege MTB
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Landschaft
 Gold
 Silber
 Bronze
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Gesamtnote
 - Gold
 - Silber
 - Bronze</t>
        </r>
      </text>
    </comment>
    <comment ref="A2" authorId="1">
      <text>
        <r>
          <rPr>
            <b/>
            <u/>
            <sz val="9"/>
            <color indexed="81"/>
            <rFont val="Tahoma"/>
            <family val="2"/>
          </rPr>
          <t>Verloren in der grünen Hölle</t>
        </r>
        <r>
          <rPr>
            <sz val="9"/>
            <color indexed="81"/>
            <rFont val="Tahoma"/>
            <charset val="1"/>
          </rPr>
          <t xml:space="preserve">
Weilbach, Amorbach, Beuchen, Steinbach, Mudau, Waldauerbach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b/>
            <sz val="9"/>
            <color indexed="81"/>
            <rFont val="Tahoma"/>
            <family val="2"/>
          </rPr>
          <t>Schloßau (530)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charset val="1"/>
          </rPr>
          <t xml:space="preserve">, Hesselbach, </t>
        </r>
        <r>
          <rPr>
            <b/>
            <sz val="9"/>
            <color indexed="81"/>
            <rFont val="Tahoma"/>
            <family val="2"/>
          </rPr>
          <t xml:space="preserve">Würzberg (544 max)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charset val="1"/>
          </rPr>
          <t xml:space="preserve">, Breitenbrunn, Rai-Breitenbach, Rosenbach, </t>
        </r>
        <r>
          <rPr>
            <i/>
            <sz val="9"/>
            <color indexed="81"/>
            <rFont val="Tahoma"/>
            <family val="2"/>
          </rPr>
          <t>Hainstadt (145)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Eselsberg (250)</t>
        </r>
        <r>
          <rPr>
            <sz val="9"/>
            <color indexed="81"/>
            <rFont val="Tahoma"/>
            <charset val="1"/>
          </rPr>
          <t xml:space="preserve">, Wald-Amorbach, </t>
        </r>
        <r>
          <rPr>
            <i/>
            <sz val="9"/>
            <color indexed="81"/>
            <rFont val="Tahoma"/>
            <family val="2"/>
          </rPr>
          <t>Bruchwiesen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Zinshecke (350)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charset val="1"/>
          </rPr>
          <t xml:space="preserve">, Radheim, Mosbach, Wenigumstadt, Pflaumheim, Großostheim, </t>
        </r>
        <r>
          <rPr>
            <i/>
            <sz val="9"/>
            <color indexed="81"/>
            <rFont val="Tahoma"/>
            <family val="2"/>
          </rPr>
          <t>Mainbrücke (115 min)</t>
        </r>
        <r>
          <rPr>
            <sz val="9"/>
            <color indexed="81"/>
            <rFont val="Tahoma"/>
            <charset val="1"/>
          </rPr>
          <t xml:space="preserve">, Kleinwallstadt, </t>
        </r>
        <r>
          <rPr>
            <b/>
            <sz val="9"/>
            <color indexed="81"/>
            <rFont val="Tahoma"/>
            <family val="2"/>
          </rPr>
          <t>Hofstetten (155)</t>
        </r>
        <r>
          <rPr>
            <sz val="9"/>
            <color indexed="81"/>
            <rFont val="Tahoma"/>
            <charset val="1"/>
          </rPr>
          <t>,</t>
        </r>
        <r>
          <rPr>
            <sz val="9"/>
            <color indexed="81"/>
            <rFont val="Tahoma"/>
            <family val="2"/>
          </rPr>
          <t xml:space="preserve"> Elsenfeld,</t>
        </r>
        <r>
          <rPr>
            <i/>
            <sz val="9"/>
            <color indexed="81"/>
            <rFont val="Tahoma"/>
            <family val="2"/>
          </rPr>
          <t xml:space="preserve"> Elsava(122)</t>
        </r>
        <r>
          <rPr>
            <sz val="9"/>
            <color indexed="81"/>
            <rFont val="Tahoma"/>
            <charset val="1"/>
          </rPr>
          <t xml:space="preserve">, Schippach, Streit, </t>
        </r>
        <r>
          <rPr>
            <b/>
            <sz val="9"/>
            <color indexed="81"/>
            <rFont val="Tahoma"/>
            <family val="2"/>
          </rPr>
          <t xml:space="preserve">Galgenberg (315)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charset val="1"/>
          </rPr>
          <t xml:space="preserve">, Mönchberg, Röllbach, Radweg bis Mil
</t>
        </r>
        <r>
          <rPr>
            <sz val="8"/>
            <color indexed="81"/>
            <rFont val="Tahoma"/>
            <family val="2"/>
          </rPr>
          <t>Sonntag 2013-06-23 7:00 - 12:50 (5:50 brutto - 15 min Pause) - generell wenig Verkehr - 12-20 °C Regenschauer Armlinge/Weste 2ℓ
Pfingstsonntag 2014-06-08 6:10 - 12:00 (5:50 brutto - 15 min P) 13-30 °C Sonnig, Weste 2.3ℓ
Sonntag 2016-07-24 5:55 (licht) - 12:15 (6:20 br.) 19-24 °C, Wolken auf 300 m, diesig, neblig, regnerisch, z. T. Straßen naß, 1.7/2.3ℓ (auf 5:00)</t>
        </r>
      </text>
    </comment>
    <comment ref="F2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Würzberg</t>
        </r>
      </text>
    </comment>
    <comment ref="G2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Hauptanstiege, viele Wellen</t>
        </r>
        <r>
          <rPr>
            <sz val="9"/>
            <color indexed="81"/>
            <rFont val="Tahoma"/>
            <family val="2"/>
          </rPr>
          <t xml:space="preserve">
400 Miltenberg - Schlossau
085 Seitzenbuche - Mies
105 Hainstadt - Eselsberg
170 Bruchwiesen - Zinshecke
193 Elsenfeld - Galgenberg</t>
        </r>
      </text>
    </comment>
    <comment ref="A3" authorId="0">
      <text>
        <r>
          <rPr>
            <b/>
            <u/>
            <sz val="9"/>
            <color indexed="81"/>
            <rFont val="Tahoma"/>
            <family val="2"/>
          </rPr>
          <t>Silbernes Kleeblatt um die Perle des Mains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(129),</t>
        </r>
        <r>
          <rPr>
            <sz val="9"/>
            <color indexed="81"/>
            <rFont val="Tahoma"/>
            <charset val="1"/>
          </rPr>
          <t xml:space="preserve"> Großheubach, Röllbach, Mönchberg, </t>
        </r>
        <r>
          <rPr>
            <b/>
            <sz val="9"/>
            <color indexed="81"/>
            <rFont val="Tahoma"/>
            <family val="2"/>
          </rPr>
          <t>Geiersberg (512 max),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Collenberg, Freudenberg </t>
        </r>
        <r>
          <rPr>
            <i/>
            <sz val="9"/>
            <color indexed="81"/>
            <rFont val="Tahoma"/>
            <family val="2"/>
          </rPr>
          <t xml:space="preserve">(Radweg 130), </t>
        </r>
        <r>
          <rPr>
            <u/>
            <sz val="9"/>
            <color indexed="81"/>
            <rFont val="Tahoma"/>
            <family val="2"/>
          </rPr>
          <t>Wildbachtal:</t>
        </r>
        <r>
          <rPr>
            <sz val="9"/>
            <color indexed="81"/>
            <rFont val="Tahoma"/>
            <charset val="1"/>
          </rPr>
          <t xml:space="preserve"> Boxtal, Wessental, </t>
        </r>
        <r>
          <rPr>
            <b/>
            <sz val="9"/>
            <color indexed="81"/>
            <rFont val="Tahoma"/>
            <family val="2"/>
          </rPr>
          <t>Ebenheid (384),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Neunkirchen, Richelbach, Riedern, </t>
        </r>
        <r>
          <rPr>
            <u/>
            <sz val="9"/>
            <color indexed="81"/>
            <rFont val="Tahoma"/>
            <family val="2"/>
          </rPr>
          <t>Kaltenbachtal: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Pfohlbach (180),</t>
        </r>
        <r>
          <rPr>
            <sz val="9"/>
            <color indexed="81"/>
            <rFont val="Tahoma"/>
            <charset val="1"/>
          </rPr>
          <t xml:space="preserve"> Windischbuchen, Schippach, </t>
        </r>
        <r>
          <rPr>
            <b/>
            <sz val="9"/>
            <color indexed="81"/>
            <rFont val="Tahoma"/>
            <family val="2"/>
          </rPr>
          <t>Geisenhof (457),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Reichartshausen, Neudorf, Amorbach, </t>
        </r>
        <r>
          <rPr>
            <i/>
            <sz val="9"/>
            <color indexed="81"/>
            <rFont val="Tahoma"/>
            <family val="2"/>
          </rPr>
          <t>Weilbach (140),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u/>
            <sz val="9"/>
            <color indexed="81"/>
            <rFont val="Tahoma"/>
            <family val="2"/>
          </rPr>
          <t>Ohrnbachtal:</t>
        </r>
        <r>
          <rPr>
            <sz val="9"/>
            <color indexed="81"/>
            <rFont val="Tahoma"/>
            <charset val="1"/>
          </rPr>
          <t xml:space="preserve"> Weckbach, Wiesenthal, Ohrnbach, Geyersmühle, </t>
        </r>
        <r>
          <rPr>
            <b/>
            <sz val="9"/>
            <color indexed="81"/>
            <rFont val="Tahoma"/>
            <family val="2"/>
          </rPr>
          <t>Vielbrunn (461),</t>
        </r>
        <r>
          <rPr>
            <sz val="9"/>
            <color indexed="81"/>
            <rFont val="Tahoma"/>
            <charset val="1"/>
          </rPr>
          <t xml:space="preserve"> Hainhaus, Bremhof,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 xml:space="preserve">, Kleinheubach.
</t>
        </r>
        <r>
          <rPr>
            <sz val="8"/>
            <color indexed="81"/>
            <rFont val="Tahoma"/>
            <family val="2"/>
          </rPr>
          <t>Samstag 10:15 - 15:25 (5:10 brutto - 10 min  Pause) wenig Verkehr
Dienstag 2014-05-20 8:15 - 13:25 (5:10 brutto) 14 - 23 °C Sonnig Ø 22,7
Sonntag 2015-06-28 7:00 - 12:20 (5:20 brutto - 10 min Pause) 12 - 22 °C Sonnig Ø 21,5
Sonntag 2016.08-14 6:25 (licht) - 11:35 (5:10 br.) 15 - 23 °C, Klar - Neblig - Sonnig</t>
        </r>
      </text>
    </comment>
    <comment ref="F3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Geiersberg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family val="2"/>
          </rPr>
          <t xml:space="preserve">
298 Röllbach - Geiersberg
222 Boxtal - Ebenheid
203 Pfohlbach - Schippach
201 Ohrnbach - Vielbrunn</t>
        </r>
      </text>
    </comment>
    <comment ref="A4" authorId="1">
      <text>
        <r>
          <rPr>
            <b/>
            <u/>
            <sz val="9"/>
            <color indexed="81"/>
            <rFont val="Tahoma"/>
            <family val="2"/>
          </rPr>
          <t>Gottverlassen durch die Spessartkreise MIL, AB &amp; MSP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Miltenberg (130 min)</t>
        </r>
        <r>
          <rPr>
            <sz val="9"/>
            <color indexed="81"/>
            <rFont val="Tahoma"/>
            <charset val="1"/>
          </rPr>
          <t xml:space="preserve">, Großheubach, Röllbach,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Elsava (158)</t>
        </r>
        <r>
          <rPr>
            <sz val="9"/>
            <color indexed="81"/>
            <rFont val="Tahoma"/>
            <charset val="1"/>
          </rPr>
          <t xml:space="preserve">, Eschau, Hobbach, Dammbach, </t>
        </r>
        <r>
          <rPr>
            <b/>
            <sz val="9"/>
            <color indexed="81"/>
            <rFont val="Tahoma"/>
            <family val="2"/>
          </rPr>
          <t>Schwarzer Schnabel (568 max)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Schollbrunn, </t>
        </r>
        <r>
          <rPr>
            <i/>
            <sz val="9"/>
            <color indexed="81"/>
            <rFont val="Tahoma"/>
            <family val="2"/>
          </rPr>
          <t>Hasloch (135)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u/>
            <sz val="9"/>
            <color indexed="81"/>
            <rFont val="Tahoma"/>
            <family val="2"/>
          </rPr>
          <t>[433 Hm Differenz]</t>
        </r>
        <r>
          <rPr>
            <sz val="9"/>
            <color indexed="81"/>
            <rFont val="Tahoma"/>
            <charset val="1"/>
          </rPr>
          <t xml:space="preserve">, Kreuzwertheim, Wertheim, Vockenroth, </t>
        </r>
        <r>
          <rPr>
            <b/>
            <sz val="9"/>
            <color indexed="81"/>
            <rFont val="Tahoma"/>
            <family val="2"/>
          </rPr>
          <t>Kolbenholz (334)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Nassig, </t>
        </r>
        <r>
          <rPr>
            <b/>
            <sz val="9"/>
            <color indexed="81"/>
            <rFont val="Tahoma"/>
            <family val="2"/>
          </rPr>
          <t>Säuhöhe (342)</t>
        </r>
        <r>
          <rPr>
            <sz val="9"/>
            <color indexed="81"/>
            <rFont val="Tahoma"/>
            <charset val="1"/>
          </rPr>
          <t xml:space="preserve">, Neunkirchen, Richelbach, Riedern (185),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Windischbuchen (385)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Schippach (350)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Höhe (457)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Geisenhof, </t>
        </r>
        <r>
          <rPr>
            <i/>
            <sz val="9"/>
            <color indexed="81"/>
            <rFont val="Tahoma"/>
            <family val="2"/>
          </rPr>
          <t>Reichartshausen (Bach 395)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Neudorf (442)</t>
        </r>
        <r>
          <rPr>
            <sz val="9"/>
            <color indexed="81"/>
            <rFont val="Tahoma"/>
            <charset val="1"/>
          </rPr>
          <t xml:space="preserve">, Amorbach, Weilbach, Breitendiel
</t>
        </r>
        <r>
          <rPr>
            <sz val="8"/>
            <color indexed="81"/>
            <rFont val="Tahoma"/>
            <family val="2"/>
          </rPr>
          <t>Sonntag 2014-08-10, 7:00 - 11:20 (4:20 brutto, 15 min Pause) 16 - 25 °C, Knie- und Armlinge, 2ℓ
Himmelfahrt 2015-05-14, 6:50 - 11:20 (4:30 brutto, 10 min Pause) 12 - 20 °C, Sonnig, Knie- und Armlinge, 2ℓ</t>
        </r>
      </text>
    </comment>
    <comment ref="F4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Schwarzer Schnabel</t>
        </r>
      </text>
    </comment>
    <comment ref="G4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Hauptanstiege, viele Wellen</t>
        </r>
        <r>
          <rPr>
            <sz val="9"/>
            <color indexed="81"/>
            <rFont val="Tahoma"/>
            <family val="2"/>
          </rPr>
          <t xml:space="preserve">
125 Miltenberg - Mönchberg
410 Elsava - Schwarzer Schnabel
230 Hasloch - Neunkirchen
277 Pfohlbach - Höhe</t>
        </r>
      </text>
    </comment>
    <comment ref="J4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Schwarzer Schnabel - Hasloch: 0 Autos</t>
        </r>
      </text>
    </comment>
    <comment ref="A5" authorId="1">
      <text>
        <r>
          <rPr>
            <b/>
            <u/>
            <sz val="9"/>
            <color indexed="81"/>
            <rFont val="Tahoma"/>
            <family val="2"/>
          </rPr>
          <t>Höllgrund Klassiker</t>
        </r>
        <r>
          <rPr>
            <sz val="9"/>
            <color indexed="81"/>
            <rFont val="Tahoma"/>
            <family val="2"/>
          </rPr>
          <t xml:space="preserve">
Miltenberg-Amorbach: Radweg, Pulvermühle, Kirchzell, Ottorfszell, Ernsttal, </t>
        </r>
        <r>
          <rPr>
            <b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family val="2"/>
          </rPr>
          <t xml:space="preserve">, Kailbach, Friedrichsdorf,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family val="2"/>
          </rPr>
          <t xml:space="preserve">, Waldkatzenbach, </t>
        </r>
        <r>
          <rPr>
            <b/>
            <sz val="9"/>
            <color indexed="81"/>
            <rFont val="Tahoma"/>
            <family val="2"/>
          </rPr>
          <t>Katzenbuckel Turmschenke (547)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Waldkatzenbach (495)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Strümpfelbrunn Kreisel (539)</t>
        </r>
        <r>
          <rPr>
            <sz val="9"/>
            <color indexed="81"/>
            <rFont val="Tahoma"/>
            <family val="2"/>
          </rPr>
          <t xml:space="preserve">, Oberhöllgrund, Unterhöllgrund,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Sendeturm Reisenbach (581 max)</t>
        </r>
        <r>
          <rPr>
            <sz val="9"/>
            <color indexed="81"/>
            <rFont val="Tahoma"/>
            <family val="2"/>
          </rPr>
          <t xml:space="preserve">, Reisenbach, Oberscheidental, Mudau, Steinbach, Beuchen, Amorbach, Weilbach
</t>
        </r>
        <r>
          <rPr>
            <sz val="8"/>
            <color indexed="81"/>
            <rFont val="Tahoma"/>
            <family val="2"/>
          </rPr>
          <t>Samstag 2011-08-20, 9:00 - 13:15 (4:15 brutto, 12 min Pause) sehr wenig Verkehr, 16 - 26 °C</t>
        </r>
      </text>
    </comment>
    <comment ref="F5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Sendeturm Reisenbach</t>
        </r>
      </text>
    </comment>
    <comment ref="G5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 xml:space="preserve">3 Hauptanstiege
</t>
        </r>
        <r>
          <rPr>
            <sz val="9"/>
            <color indexed="81"/>
            <rFont val="Tahoma"/>
            <family val="2"/>
          </rPr>
          <t>316 Weilbach - Wasserscheide
372 Gaimühle - Katzenbuckel Turmschenke
406 Gaimühle - Sendeturm Reisenbach</t>
        </r>
      </text>
    </comment>
    <comment ref="A6" authorId="1">
      <text>
        <r>
          <rPr>
            <b/>
            <u/>
            <sz val="9"/>
            <color indexed="81"/>
            <rFont val="Tahoma"/>
            <family val="2"/>
          </rPr>
          <t>Drei Wälder, ein Sieger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(129)</t>
        </r>
        <r>
          <rPr>
            <sz val="9"/>
            <color indexed="81"/>
            <rFont val="Tahoma"/>
            <charset val="1"/>
          </rPr>
          <t xml:space="preserve">, Promilleweg, R-Weg, </t>
        </r>
        <r>
          <rPr>
            <b/>
            <sz val="9"/>
            <color indexed="81"/>
            <rFont val="Tahoma"/>
            <family val="2"/>
          </rPr>
          <t>Ospis (439)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Sohlhöhe (378)</t>
        </r>
        <r>
          <rPr>
            <sz val="9"/>
            <color indexed="81"/>
            <rFont val="Tahoma"/>
            <charset val="1"/>
          </rPr>
          <t xml:space="preserve">, Eselsweg bis Schöllesberg </t>
        </r>
        <r>
          <rPr>
            <b/>
            <sz val="9"/>
            <color indexed="81"/>
            <rFont val="Tahoma"/>
            <family val="2"/>
          </rPr>
          <t xml:space="preserve">(482 max)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charset val="1"/>
          </rPr>
          <t xml:space="preserve">, Roter Querbalken (Freudenberger Weg) bis </t>
        </r>
        <r>
          <rPr>
            <i/>
            <sz val="9"/>
            <color indexed="81"/>
            <rFont val="Tahoma"/>
            <family val="2"/>
          </rPr>
          <t>Freudenberg Main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Ziegelberg-Pass (415)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Lindtal Quelle (366)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Jungholzstraße-Pass (459)</t>
        </r>
        <r>
          <rPr>
            <sz val="9"/>
            <color indexed="81"/>
            <rFont val="Tahoma"/>
            <charset val="1"/>
          </rPr>
          <t>, Winnengrund (330)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Kohlgrund,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charset val="1"/>
          </rPr>
          <t xml:space="preserve">, Schippach (197), Steinerner Berg, </t>
        </r>
        <r>
          <rPr>
            <b/>
            <sz val="9"/>
            <color indexed="81"/>
            <rFont val="Tahoma"/>
            <family val="2"/>
          </rPr>
          <t>Tannenschlag (462)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i/>
            <sz val="9"/>
            <color indexed="81"/>
            <rFont val="Tahoma"/>
            <family val="2"/>
          </rPr>
          <t>Stadtwald (380)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 xml:space="preserve">Mud (127)
</t>
        </r>
        <r>
          <rPr>
            <u/>
            <sz val="9"/>
            <color indexed="81"/>
            <rFont val="Tahoma"/>
            <family val="2"/>
          </rPr>
          <t>Flow (Bypass Ospis, Ziegelberg, Kohlplatte)</t>
        </r>
        <r>
          <rPr>
            <sz val="9"/>
            <color indexed="81"/>
            <rFont val="Tahoma"/>
            <family val="2"/>
          </rPr>
          <t xml:space="preserve"> 52,87 km 1290 HM 3:51:31 Ø 13,7</t>
        </r>
        <r>
          <rPr>
            <i/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Sonntag 2014-03-08, 9:15 - 13:15, 3 - 14 °C, Nebel - Sonnig, 2ℓ (0.75ℓ Quelle), 2 Riegel
Sonntag 2014-11-23, 9:50 - 14:00, 2 - 6 °C, Nebel - Sonnig, 1.5ℓ, 2 Riegel
Sonntag 2016-08-13, 9:40 - 13:40, 17 - 23 °C, Sonnig, 1.5ℓ, (0.5ℓ Quelle) 1ℓ langt nicht, 2 Riegel </t>
        </r>
      </text>
    </comment>
    <comment ref="D6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Gemittelt: Trigonometrisch, GPS</t>
        </r>
      </text>
    </comment>
    <comment ref="F6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Schöllesberg</t>
        </r>
      </text>
    </comment>
    <comment ref="G6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6 Hauptanstiege, viele Wellen</t>
        </r>
        <r>
          <rPr>
            <sz val="9"/>
            <color indexed="81"/>
            <rFont val="Tahoma"/>
            <family val="2"/>
          </rPr>
          <t xml:space="preserve">
310 Kleinheubach - Ospis
104 Sohlhöhe - Schöllesberg
288 Freudenberg - Ziegelberg
093 Lindtal - Jungholz
312 Schippach - Tannenschlag
101 Stadtwald - Kohlplatte</t>
        </r>
      </text>
    </comment>
    <comment ref="A7" authorId="1">
      <text>
        <r>
          <rPr>
            <b/>
            <u/>
            <sz val="9"/>
            <color indexed="81"/>
            <rFont val="Tahoma"/>
            <family val="2"/>
          </rPr>
          <t>Odenwälder Wildcats mit Gipfelsturm</t>
        </r>
        <r>
          <rPr>
            <sz val="9"/>
            <color indexed="81"/>
            <rFont val="Tahoma"/>
            <charset val="1"/>
          </rPr>
          <t xml:space="preserve">
Breitendiel, Weilbach, Amorbach, Beuchen, Steinbach, Mudau, Oberscheidental, Schwand (543), Strümpfelbrunn, Waldkatzenbach, Königsstuhlblick (600), Katzenbuckel (626), </t>
        </r>
        <r>
          <rPr>
            <b/>
            <sz val="9"/>
            <color indexed="81"/>
            <rFont val="Tahoma"/>
            <family val="2"/>
          </rPr>
          <t>Aussichtsturm (644 max)</t>
        </r>
        <r>
          <rPr>
            <sz val="9"/>
            <color indexed="81"/>
            <rFont val="Tahoma"/>
            <charset val="1"/>
          </rPr>
          <t xml:space="preserve">, Oberdielbach, Eberbach, Ittertal: </t>
        </r>
        <r>
          <rPr>
            <i/>
            <sz val="9"/>
            <color indexed="81"/>
            <rFont val="Tahoma"/>
            <family val="2"/>
          </rPr>
          <t xml:space="preserve">Itter (140) </t>
        </r>
        <r>
          <rPr>
            <i/>
            <u/>
            <sz val="9"/>
            <color indexed="81"/>
            <rFont val="Tahoma"/>
            <family val="2"/>
          </rPr>
          <t>[504 Hm Differenz]</t>
        </r>
        <r>
          <rPr>
            <sz val="9"/>
            <color indexed="81"/>
            <rFont val="Tahoma"/>
            <charset val="1"/>
          </rPr>
          <t xml:space="preserve">, Gaimühle (174), Friedrichsdorf, Kailbach, </t>
        </r>
        <r>
          <rPr>
            <b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charset val="1"/>
          </rPr>
          <t xml:space="preserve">, Ernsttal, Ottorfszell, Kirchzell, Pulvermühle, Amorbach, Weilbach, Breitendiel
</t>
        </r>
        <r>
          <rPr>
            <sz val="8"/>
            <color indexed="81"/>
            <rFont val="Tahoma"/>
            <family val="2"/>
          </rPr>
          <t>Samstag 2011-08-06, 9:00 - 13:42 (4:42 brutto, 25 min Pause) viel Verkehr in Eberbach, wenig Verkehr im Ittertal</t>
        </r>
      </text>
    </comment>
    <comment ref="F7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644 Turm</t>
        </r>
      </text>
    </comment>
    <comment ref="G7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family val="2"/>
          </rPr>
          <t xml:space="preserve">
514 Miltenberg - Katzenbuckel Aussichtsturm
321 Eberbach Itter - Wasserscheide</t>
        </r>
      </text>
    </comment>
    <comment ref="A8" authorId="1">
      <text>
        <r>
          <rPr>
            <b/>
            <u/>
            <sz val="9"/>
            <color indexed="81"/>
            <rFont val="Tahoma"/>
            <family val="2"/>
          </rPr>
          <t>Von wegen Weinberge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Geißbuckel (454)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Stadtwald (380)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Wenschdorfer Steige (370)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Tannenschlag (462)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Eichenbühl (210)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Berndiel (400)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Schippach (340)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Höschhecken (473)</t>
        </r>
        <r>
          <rPr>
            <sz val="9"/>
            <color indexed="81"/>
            <rFont val="Tahoma"/>
            <family val="2"/>
          </rPr>
          <t xml:space="preserve">, Reuenthal, </t>
        </r>
        <r>
          <rPr>
            <i/>
            <sz val="9"/>
            <color indexed="81"/>
            <rFont val="Tahoma"/>
            <family val="2"/>
          </rPr>
          <t>Weilbach (140)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Steinkopf (460)
</t>
        </r>
        <r>
          <rPr>
            <sz val="8"/>
            <color indexed="81"/>
            <rFont val="Tahoma"/>
            <family val="2"/>
          </rPr>
          <t>Samstag 2012-05-26, 9:40 - 12:50, 1ℓ
Sonntag 2012-07-22, 13 - 20 °C, 1ℓ</t>
        </r>
      </text>
    </comment>
    <comment ref="F8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Kohlplatte</t>
        </r>
      </text>
    </comment>
    <comment ref="G8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Hauptanstiege, 2 Wellen</t>
        </r>
        <r>
          <rPr>
            <sz val="9"/>
            <color indexed="81"/>
            <rFont val="Tahoma"/>
            <family val="2"/>
          </rPr>
          <t xml:space="preserve">
327 Mud - Geißbuckel
081 Stadtwald - Kohlplatte
092 Steige - Tannenschlag
190 Eichenbühl - Berndiel
133 Schippach - Höschhecken
320 Weilbach - Steinkopf</t>
        </r>
      </text>
    </comment>
    <comment ref="A9" authorId="1">
      <text>
        <r>
          <rPr>
            <b/>
            <u/>
            <sz val="9"/>
            <color indexed="81"/>
            <rFont val="Tahoma"/>
            <family val="2"/>
          </rPr>
          <t>Hart, Härter, Spechtshaardt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(128 min)</t>
        </r>
        <r>
          <rPr>
            <sz val="9"/>
            <color indexed="81"/>
            <rFont val="Tahoma"/>
            <family val="2"/>
          </rPr>
          <t xml:space="preserve">, Großheubach, Röllbach,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Eschau (158)</t>
        </r>
        <r>
          <rPr>
            <sz val="9"/>
            <color indexed="81"/>
            <rFont val="Tahoma"/>
            <family val="2"/>
          </rPr>
          <t xml:space="preserve">, Hobbach, Wintersbach, Krausenbach, Rohrbrunn, </t>
        </r>
        <r>
          <rPr>
            <b/>
            <sz val="9"/>
            <color indexed="81"/>
            <rFont val="Tahoma"/>
            <family val="2"/>
          </rPr>
          <t>Spessarthochstraße (555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Mespelbrunn-Hessenthal Elsava (303)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Hohlbild (460)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AS Weibersbrunn (420)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Höhe (482)</t>
        </r>
        <r>
          <rPr>
            <sz val="9"/>
            <color indexed="81"/>
            <rFont val="Tahoma"/>
            <family val="2"/>
          </rPr>
          <t xml:space="preserve">, Rothenbuch, </t>
        </r>
        <r>
          <rPr>
            <i/>
            <sz val="9"/>
            <color indexed="81"/>
            <rFont val="Tahoma"/>
            <family val="2"/>
          </rPr>
          <t>Hafenlohr (300)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Rohrbrunn (460)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Eschau (158)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family val="2"/>
          </rPr>
          <t xml:space="preserve">, Röllbach, Großheubach, Kleinheubach
</t>
        </r>
        <r>
          <rPr>
            <sz val="8"/>
            <color indexed="81"/>
            <rFont val="Tahoma"/>
            <family val="2"/>
          </rPr>
          <t>Dienstag 2012-05-01, 8:15 - 12:30 (4:15 brutto - 10 min Pause) 16 - 23 °C Beste Startzeit: 7:45</t>
        </r>
      </text>
    </comment>
    <comment ref="F9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Spessarthochstraße</t>
        </r>
      </text>
    </comment>
    <comment ref="G9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charset val="1"/>
          </rPr>
          <t xml:space="preserve">
127 Kleinheubach - Mönchberg
</t>
        </r>
        <r>
          <rPr>
            <sz val="9"/>
            <color indexed="81"/>
            <rFont val="Tahoma"/>
            <family val="2"/>
          </rPr>
          <t>397 Elsava - Spessarthochstraße</t>
        </r>
        <r>
          <rPr>
            <sz val="9"/>
            <color indexed="81"/>
            <rFont val="Tahoma"/>
            <charset val="1"/>
          </rPr>
          <t xml:space="preserve">
157 Hessenthal - Hohlbild
062 AS Weibersbrunn - Höhe
160 Hafenlohr - Rohrbrunn
097 Elsava - Mönchberg</t>
        </r>
      </text>
    </comment>
    <comment ref="A10" authorId="1">
      <text>
        <r>
          <rPr>
            <b/>
            <u/>
            <sz val="9"/>
            <color indexed="81"/>
            <rFont val="Tahoma"/>
            <family val="2"/>
          </rPr>
          <t>Am Vierzack nicht verzagt</t>
        </r>
        <r>
          <rPr>
            <sz val="9"/>
            <color indexed="81"/>
            <rFont val="Tahoma"/>
            <charset val="1"/>
          </rPr>
          <t xml:space="preserve">
Kleinheubach, Großheubach, </t>
        </r>
        <r>
          <rPr>
            <i/>
            <sz val="9"/>
            <color indexed="81"/>
            <rFont val="Tahoma"/>
            <family val="2"/>
          </rPr>
          <t>Miltenberg (126 min)</t>
        </r>
        <r>
          <rPr>
            <sz val="9"/>
            <color indexed="81"/>
            <rFont val="Tahoma"/>
            <charset val="1"/>
          </rPr>
          <t xml:space="preserve">, Bürgstadt, Eichenbühl, Pfohlbach (179), </t>
        </r>
        <r>
          <rPr>
            <b/>
            <sz val="9"/>
            <color indexed="81"/>
            <rFont val="Tahoma"/>
            <family val="2"/>
          </rPr>
          <t>Gerolzahn (380)</t>
        </r>
        <r>
          <rPr>
            <sz val="9"/>
            <color indexed="81"/>
            <rFont val="Tahoma"/>
            <charset val="1"/>
          </rPr>
          <t xml:space="preserve">, Rippberg, </t>
        </r>
        <r>
          <rPr>
            <i/>
            <sz val="9"/>
            <color indexed="81"/>
            <rFont val="Tahoma"/>
            <family val="2"/>
          </rPr>
          <t>Marsbach (216)</t>
        </r>
        <r>
          <rPr>
            <sz val="9"/>
            <color indexed="81"/>
            <rFont val="Tahoma"/>
            <charset val="1"/>
          </rPr>
          <t xml:space="preserve">, Hornbach, </t>
        </r>
        <r>
          <rPr>
            <b/>
            <sz val="9"/>
            <color indexed="81"/>
            <rFont val="Tahoma"/>
            <family val="2"/>
          </rPr>
          <t>Erli (426)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Hettigenbeuern, </t>
        </r>
        <r>
          <rPr>
            <i/>
            <sz val="9"/>
            <color indexed="81"/>
            <rFont val="Tahoma"/>
            <family val="2"/>
          </rPr>
          <t>Morre (228)</t>
        </r>
        <r>
          <rPr>
            <sz val="9"/>
            <color indexed="81"/>
            <rFont val="Tahoma"/>
            <charset val="1"/>
          </rPr>
          <t xml:space="preserve">, Steinbach, </t>
        </r>
        <r>
          <rPr>
            <b/>
            <sz val="9"/>
            <color indexed="81"/>
            <rFont val="Tahoma"/>
            <family val="2"/>
          </rPr>
          <t>Hagheumahden (472 max)</t>
        </r>
        <r>
          <rPr>
            <sz val="9"/>
            <color indexed="81"/>
            <rFont val="Tahoma"/>
            <charset val="1"/>
          </rPr>
          <t xml:space="preserve">, Beuchen vorbei, Amorbach, </t>
        </r>
        <r>
          <rPr>
            <i/>
            <sz val="9"/>
            <color indexed="81"/>
            <rFont val="Tahoma"/>
            <family val="2"/>
          </rPr>
          <t>Weilbach (140)</t>
        </r>
        <r>
          <rPr>
            <sz val="9"/>
            <color indexed="81"/>
            <rFont val="Tahoma"/>
            <charset val="1"/>
          </rPr>
          <t xml:space="preserve">, Ohrnbachtal: Weckbach, Wiesenthal, Ohrnbach, Geyersmühle, </t>
        </r>
        <r>
          <rPr>
            <b/>
            <sz val="9"/>
            <color indexed="81"/>
            <rFont val="Tahoma"/>
            <family val="2"/>
          </rPr>
          <t>Vielbrunn (461)</t>
        </r>
        <r>
          <rPr>
            <sz val="9"/>
            <color indexed="81"/>
            <rFont val="Tahoma"/>
            <charset val="1"/>
          </rPr>
          <t xml:space="preserve">, Hainhaus, Bremhof, </t>
        </r>
        <r>
          <rPr>
            <i/>
            <sz val="9"/>
            <color indexed="81"/>
            <rFont val="Tahoma"/>
            <family val="2"/>
          </rPr>
          <t>Laudenbach (128)</t>
        </r>
        <r>
          <rPr>
            <sz val="9"/>
            <color indexed="81"/>
            <rFont val="Tahoma"/>
            <charset val="1"/>
          </rPr>
          <t xml:space="preserve">, Kleinheubach.
</t>
        </r>
        <r>
          <rPr>
            <sz val="8"/>
            <color indexed="81"/>
            <rFont val="Tahoma"/>
            <family val="2"/>
          </rPr>
          <t>Messe-Sonntag 2015-08-30 7:15 - 11:00 20 - 25 °C dunstig - sonnig 1.5ℓ
Messe-Sonntag 2015-08-27 6:55 - 10:40 17 - 23 °C neblig - dunstig 1.5ℓ -&gt; Dämmerungsgrenze!</t>
        </r>
      </text>
    </comment>
    <comment ref="F10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Vielbrunn</t>
        </r>
      </text>
    </comment>
    <comment ref="G10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Hauptanstiege, viele Wellen</t>
        </r>
        <r>
          <rPr>
            <sz val="9"/>
            <color indexed="81"/>
            <rFont val="Tahoma"/>
            <family val="2"/>
          </rPr>
          <t xml:space="preserve">
252 Miltenberg - Gerolzahn
210 Rippberg - Erli
244 Morre - Hagheumahen
201 Ohrnbach - Vielbrunn</t>
        </r>
      </text>
    </comment>
    <comment ref="J10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Verkehr sehr gut bis Ohnrbachtal (~9:45)</t>
        </r>
      </text>
    </comment>
    <comment ref="A11" authorId="1">
      <text>
        <r>
          <rPr>
            <b/>
            <u/>
            <sz val="9"/>
            <color indexed="81"/>
            <rFont val="Tahoma"/>
            <family val="2"/>
          </rPr>
          <t>Mit dem Sensenmann durch das Sensbachtal</t>
        </r>
        <r>
          <rPr>
            <sz val="9"/>
            <color indexed="81"/>
            <rFont val="Tahoma"/>
            <charset val="1"/>
          </rPr>
          <t xml:space="preserve">
Breitendiel, Weilbach, Amorbach, Beuchen, Steinbach, Mudau, Oberscheidental, Reisenbach, </t>
        </r>
        <r>
          <rPr>
            <b/>
            <sz val="9"/>
            <color indexed="81"/>
            <rFont val="Tahoma"/>
            <family val="2"/>
          </rPr>
          <t>Sendeturm (581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Ittertal: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Sensbachtal:</t>
        </r>
        <r>
          <rPr>
            <sz val="9"/>
            <color indexed="81"/>
            <rFont val="Tahoma"/>
            <charset val="1"/>
          </rPr>
          <t xml:space="preserve"> Hebstahl, Sensbachtal, Ober-Sensbach, Reußenkreuz (520), </t>
        </r>
        <r>
          <rPr>
            <b/>
            <sz val="9"/>
            <color indexed="81"/>
            <rFont val="Tahoma"/>
            <family val="2"/>
          </rPr>
          <t>Krähberg (555)</t>
        </r>
        <r>
          <rPr>
            <sz val="9"/>
            <color indexed="81"/>
            <rFont val="Tahoma"/>
            <charset val="1"/>
          </rPr>
          <t xml:space="preserve">, Hesseneck, Schöllenbach, </t>
        </r>
        <r>
          <rPr>
            <i/>
            <sz val="9"/>
            <color indexed="81"/>
            <rFont val="Tahoma"/>
            <family val="2"/>
          </rPr>
          <t>Badisch-Schöllenbach (290)</t>
        </r>
        <r>
          <rPr>
            <sz val="9"/>
            <color indexed="81"/>
            <rFont val="Tahoma"/>
            <charset val="1"/>
          </rPr>
          <t xml:space="preserve">, Hesselbach, Würzberg, </t>
        </r>
        <r>
          <rPr>
            <b/>
            <sz val="9"/>
            <color indexed="81"/>
            <rFont val="Tahoma"/>
            <family val="2"/>
          </rPr>
          <t>Mies (544)</t>
        </r>
        <r>
          <rPr>
            <sz val="9"/>
            <color indexed="81"/>
            <rFont val="Tahoma"/>
            <charset val="1"/>
          </rPr>
          <t xml:space="preserve">, Vielbrunn, Hainhaus, Brehmhof,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 xml:space="preserve">, Kleinheubach
</t>
        </r>
        <r>
          <rPr>
            <sz val="8"/>
            <color indexed="81"/>
            <rFont val="Tahoma"/>
            <family val="2"/>
          </rPr>
          <t>Samstag 2011-07-16, 10:15-14:45 (4:30 brutto - 10 min Pause)
Pfingstmontag 2012-05-29, 10:00 Verkehr sehr gut bis Hesselbach
Ohne Krähberg: 101 km; 1265 Hm</t>
        </r>
      </text>
    </comment>
    <comment ref="F11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Reisenbach</t>
        </r>
      </text>
    </comment>
    <comment ref="G11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family val="2"/>
          </rPr>
          <t xml:space="preserve">
451 Miltenberg - Reisenbach
380 Gaimühle - Krähberg
254 Schöllenbach - Würzberg</t>
        </r>
      </text>
    </comment>
    <comment ref="J11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Sensbachtal Samstags, Sonntags und Feiertags für Motorräder gesperrt</t>
        </r>
      </text>
    </comment>
    <comment ref="A12" authorId="1">
      <text>
        <r>
          <rPr>
            <b/>
            <u/>
            <sz val="9"/>
            <color indexed="81"/>
            <rFont val="Tahoma"/>
            <family val="2"/>
          </rPr>
          <t>Bull-Riding mit Gipfelglück</t>
        </r>
        <r>
          <rPr>
            <sz val="9"/>
            <color indexed="81"/>
            <rFont val="Tahoma"/>
            <charset val="1"/>
          </rPr>
          <t xml:space="preserve">
Wellig: Kleinheubach -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Bremhof-Pass (416)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Bremhof (402)</t>
        </r>
        <r>
          <rPr>
            <sz val="9"/>
            <color indexed="81"/>
            <rFont val="Tahoma"/>
            <charset val="1"/>
          </rPr>
          <t xml:space="preserve">, Vielbrunn, </t>
        </r>
        <r>
          <rPr>
            <b/>
            <sz val="9"/>
            <color indexed="81"/>
            <rFont val="Tahoma"/>
            <family val="2"/>
          </rPr>
          <t>Eulbach (516)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Ernsbach (360)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Höhe (412)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Erbuch (365)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Kohlwald Bullau (560 max)</t>
        </r>
        <r>
          <rPr>
            <sz val="9"/>
            <color indexed="81"/>
            <rFont val="Tahoma"/>
            <charset val="1"/>
          </rPr>
          <t xml:space="preserve"> &amp; retour
</t>
        </r>
        <r>
          <rPr>
            <sz val="8"/>
            <color indexed="81"/>
            <rFont val="Tahoma"/>
            <family val="2"/>
          </rPr>
          <t>Samstag 2012-05-19, 09:50-13:10 (3:20 brutto - 10 min Pause), 16 - 23°C, 2ℓ</t>
        </r>
      </text>
    </comment>
    <comment ref="F12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560 Kohlwald Bullau
542 Sender</t>
        </r>
      </text>
    </comment>
    <comment ref="G12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sehr viele Wellen</t>
        </r>
        <r>
          <rPr>
            <sz val="9"/>
            <color indexed="81"/>
            <rFont val="Tahoma"/>
            <family val="2"/>
          </rPr>
          <t xml:space="preserve">
388 Laudenbach - Eulbach
200 Ernsbach - Bullau
156 Ernsbach - Eulbach</t>
        </r>
      </text>
    </comment>
    <comment ref="J12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Positiv: Ab K44 quasi kein Verkehr mehr;
Ernsbach - Erbuch: Nur Forst- und Landwirtschaftlicher Verkehr frei</t>
        </r>
      </text>
    </comment>
    <comment ref="A13" authorId="1">
      <text>
        <r>
          <rPr>
            <b/>
            <u/>
            <sz val="9"/>
            <color indexed="81"/>
            <rFont val="Tahoma"/>
            <family val="2"/>
          </rPr>
          <t>Drei Zinnen, drei Tode</t>
        </r>
        <r>
          <rPr>
            <sz val="9"/>
            <color indexed="81"/>
            <rFont val="Tahoma"/>
            <family val="2"/>
          </rPr>
          <t xml:space="preserve">
Miltenberg, Breitendiel, Weilbach, Amorbach, Schneeberg, Zittenfelden, Hettigenbeuern (235), </t>
        </r>
        <r>
          <rPr>
            <b/>
            <sz val="9"/>
            <color indexed="81"/>
            <rFont val="Tahoma"/>
            <family val="2"/>
          </rPr>
          <t>Hornbach (435)</t>
        </r>
        <r>
          <rPr>
            <sz val="9"/>
            <color indexed="81"/>
            <rFont val="Tahoma"/>
            <family val="2"/>
          </rPr>
          <t xml:space="preserve">, Rippberg, </t>
        </r>
        <r>
          <rPr>
            <i/>
            <sz val="9"/>
            <color indexed="81"/>
            <rFont val="Tahoma"/>
            <family val="2"/>
          </rPr>
          <t>Schneeberg (172)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Neudorf (462)</t>
        </r>
        <r>
          <rPr>
            <sz val="9"/>
            <color indexed="81"/>
            <rFont val="Tahoma"/>
            <family val="2"/>
          </rPr>
          <t xml:space="preserve">, Amorbach, Weilbach, </t>
        </r>
        <r>
          <rPr>
            <i/>
            <sz val="9"/>
            <color indexed="81"/>
            <rFont val="Tahoma"/>
            <family val="2"/>
          </rPr>
          <t>Breitendiel (130)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Steinkopf (460)</t>
        </r>
        <r>
          <rPr>
            <sz val="9"/>
            <color indexed="81"/>
            <rFont val="Tahoma"/>
            <family val="2"/>
          </rPr>
          <t xml:space="preserve">, Miltenberg
</t>
        </r>
        <r>
          <rPr>
            <sz val="8"/>
            <color indexed="81"/>
            <rFont val="Tahoma"/>
            <family val="2"/>
          </rPr>
          <t>Sonntag 2013-06-02, 9:55 - 13:10 (3:15 brutto - 5 Minuten Pause), 1ℓ, 12 - 19°C</t>
        </r>
      </text>
    </comment>
    <comment ref="F13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Neudorf Sendemast</t>
        </r>
      </text>
    </comment>
    <comment ref="G13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charset val="1"/>
          </rPr>
          <t xml:space="preserve">
200 Hettigenbeuern - Hornbach
290 Schneeberg - Neudorf
330 Breitendiel - Steinkopf</t>
        </r>
      </text>
    </comment>
    <comment ref="A14" authorId="0">
      <text>
        <r>
          <rPr>
            <b/>
            <u/>
            <sz val="9"/>
            <color indexed="81"/>
            <rFont val="Tahoma"/>
            <family val="2"/>
          </rPr>
          <t>Bronzenes Kleeblatt um die Perle des Mains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(129)</t>
        </r>
        <r>
          <rPr>
            <sz val="9"/>
            <color indexed="81"/>
            <rFont val="Tahoma"/>
            <charset val="1"/>
          </rPr>
          <t xml:space="preserve">, Großheubach, Röllbach, Mönchberg, </t>
        </r>
        <r>
          <rPr>
            <b/>
            <sz val="9"/>
            <color indexed="81"/>
            <rFont val="Tahoma"/>
            <family val="2"/>
          </rPr>
          <t xml:space="preserve">Geiersberg (512 max)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b/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Collenberg, Freudenberg </t>
        </r>
        <r>
          <rPr>
            <i/>
            <sz val="9"/>
            <color indexed="81"/>
            <rFont val="Tahoma"/>
            <family val="2"/>
          </rPr>
          <t>(Radweg 130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Wildbachtal:</t>
        </r>
        <r>
          <rPr>
            <sz val="9"/>
            <color indexed="81"/>
            <rFont val="Tahoma"/>
            <charset val="1"/>
          </rPr>
          <t xml:space="preserve"> Boxtal, Wessental,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b/>
            <sz val="9"/>
            <color indexed="81"/>
            <rFont val="Tahoma"/>
            <family val="2"/>
          </rPr>
          <t xml:space="preserve">Ebenheid (384), </t>
        </r>
        <r>
          <rPr>
            <sz val="9"/>
            <color indexed="81"/>
            <rFont val="Tahoma"/>
            <charset val="1"/>
          </rPr>
          <t xml:space="preserve">Neunkirchen, Richelbach, Riedern, </t>
        </r>
        <r>
          <rPr>
            <u/>
            <sz val="9"/>
            <color indexed="81"/>
            <rFont val="Tahoma"/>
            <family val="2"/>
          </rPr>
          <t>Kaltenbachtal: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charset val="1"/>
          </rPr>
          <t xml:space="preserve">, Windischbuchen, Schippach, </t>
        </r>
        <r>
          <rPr>
            <b/>
            <sz val="9"/>
            <color indexed="81"/>
            <rFont val="Tahoma"/>
            <family val="2"/>
          </rPr>
          <t xml:space="preserve">Geisenhof (457)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b/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Reichartshausen, Neudorf, Amorbach, Weilbach, Breitendiel
</t>
        </r>
        <r>
          <rPr>
            <sz val="8"/>
            <color indexed="81"/>
            <rFont val="Tahoma"/>
            <family val="2"/>
          </rPr>
          <t xml:space="preserve">Montag 2013-04-15, 9:30 - 13:30 (4:00 brutto - 10 Min Pause), 16 - 25 °C, 2ℓ, 2 Riegel </t>
        </r>
      </text>
    </comment>
    <comment ref="F14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Geiersberg</t>
        </r>
      </text>
    </comment>
    <comment ref="G14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family val="2"/>
          </rPr>
          <t xml:space="preserve">
298 Röllbach - Geiersberg
222 Boxtal - Ebenheid
203 Pfohlbach - Schippach</t>
        </r>
      </text>
    </comment>
    <comment ref="A15" authorId="1">
      <text>
        <r>
          <rPr>
            <b/>
            <u/>
            <sz val="9"/>
            <color indexed="81"/>
            <rFont val="Tahoma"/>
            <family val="2"/>
          </rPr>
          <t>In der Hölle des Nordens ist der Teufel nicht weit</t>
        </r>
        <r>
          <rPr>
            <sz val="9"/>
            <color indexed="81"/>
            <rFont val="Tahoma"/>
            <charset val="1"/>
          </rPr>
          <t xml:space="preserve">
Kleinheubach-Laudenbach: Standard "wellig" </t>
        </r>
        <r>
          <rPr>
            <i/>
            <sz val="9"/>
            <color indexed="81"/>
            <rFont val="Tahoma"/>
            <family val="2"/>
          </rPr>
          <t>(125 min)</t>
        </r>
        <r>
          <rPr>
            <sz val="9"/>
            <color indexed="81"/>
            <rFont val="Tahoma"/>
            <charset val="1"/>
          </rPr>
          <t xml:space="preserve">, Bremhof, </t>
        </r>
        <r>
          <rPr>
            <b/>
            <sz val="9"/>
            <color indexed="81"/>
            <rFont val="Tahoma"/>
            <family val="2"/>
          </rPr>
          <t>Hainhaus (457 max)</t>
        </r>
        <r>
          <rPr>
            <sz val="9"/>
            <color indexed="81"/>
            <rFont val="Tahoma"/>
            <charset val="1"/>
          </rPr>
          <t xml:space="preserve">, Breitenbrunn, Mühlhausen, </t>
        </r>
        <r>
          <rPr>
            <i/>
            <sz val="9"/>
            <color indexed="81"/>
            <rFont val="Tahoma"/>
            <family val="2"/>
          </rPr>
          <t>Wende Rai-Breitenbach (150)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Rimhorn Höhe (315)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Obrunntal: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Wende Höchst Kreisel (160)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Rimhorn Höhe (315)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Rimhorn Sportplatz (215)</t>
        </r>
        <r>
          <rPr>
            <sz val="9"/>
            <color indexed="81"/>
            <rFont val="Tahoma"/>
            <charset val="1"/>
          </rPr>
          <t xml:space="preserve">, Breitenbrunn-Fürstengrund: Radweg, </t>
        </r>
        <r>
          <rPr>
            <b/>
            <sz val="9"/>
            <color indexed="81"/>
            <rFont val="Tahoma"/>
            <family val="2"/>
          </rPr>
          <t>Wende Höhe (360)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Breitenbrunn (275)</t>
        </r>
        <r>
          <rPr>
            <sz val="9"/>
            <color indexed="81"/>
            <rFont val="Tahoma"/>
            <charset val="1"/>
          </rPr>
          <t xml:space="preserve"> &amp; retour
</t>
        </r>
        <r>
          <rPr>
            <sz val="8"/>
            <color indexed="81"/>
            <rFont val="Tahoma"/>
            <family val="2"/>
          </rPr>
          <t>Samstag 2012-04-14 15°C
Ohne Wende Höhe: 62,9 km; 1020 Hm</t>
        </r>
      </text>
    </comment>
    <comment ref="F15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Hainhaus</t>
        </r>
      </text>
    </comment>
    <comment ref="G15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charset val="1"/>
          </rPr>
          <t xml:space="preserve">
332 Laudenbach - Hainhaus
165 Rai-Breitenbach - Rimhorn Höhe
155 Höchst Kreisel - Rimhorn Höhe
145 Rimhorn Sportplatz - Breitenbrunn Höhe
182 Breitenbrunn - Hainhaus</t>
        </r>
      </text>
    </comment>
    <comment ref="A16" authorId="0">
      <text>
        <r>
          <rPr>
            <b/>
            <u/>
            <sz val="9"/>
            <color indexed="81"/>
            <rFont val="Tahoma"/>
            <family val="2"/>
          </rPr>
          <t>Schleudertrauma im Räuberland</t>
        </r>
        <r>
          <rPr>
            <sz val="9"/>
            <color indexed="81"/>
            <rFont val="Tahoma"/>
            <family val="2"/>
          </rPr>
          <t xml:space="preserve">
Kleinheubach, Großheubach, Röllbach, Schmachtenberg, </t>
        </r>
        <r>
          <rPr>
            <b/>
            <sz val="9"/>
            <color indexed="81"/>
            <rFont val="Tahoma"/>
            <family val="2"/>
          </rPr>
          <t>Galgenberg 315</t>
        </r>
        <r>
          <rPr>
            <sz val="9"/>
            <color indexed="81"/>
            <rFont val="Tahoma"/>
            <family val="2"/>
          </rPr>
          <t xml:space="preserve">, Streit, Neuhof, </t>
        </r>
        <r>
          <rPr>
            <i/>
            <sz val="9"/>
            <color indexed="81"/>
            <rFont val="Tahoma"/>
            <family val="2"/>
          </rPr>
          <t>Eschau (160),</t>
        </r>
        <r>
          <rPr>
            <sz val="9"/>
            <color indexed="81"/>
            <rFont val="Tahoma"/>
            <family val="2"/>
          </rPr>
          <t xml:space="preserve"> Unteraulenbach, Hobbach, Wintersbach, </t>
        </r>
        <r>
          <rPr>
            <b/>
            <sz val="9"/>
            <color indexed="81"/>
            <rFont val="Tahoma"/>
            <family val="2"/>
          </rPr>
          <t>Geishöhe (521 max),</t>
        </r>
        <r>
          <rPr>
            <i/>
            <sz val="9"/>
            <color indexed="81"/>
            <rFont val="Tahoma"/>
            <family val="2"/>
          </rPr>
          <t xml:space="preserve"> Wintersbach (210),</t>
        </r>
        <r>
          <rPr>
            <sz val="9"/>
            <color indexed="81"/>
            <rFont val="Tahoma"/>
            <family val="2"/>
          </rPr>
          <t xml:space="preserve"> Krausenbach, </t>
        </r>
        <r>
          <rPr>
            <b/>
            <sz val="9"/>
            <color indexed="81"/>
            <rFont val="Tahoma"/>
            <family val="2"/>
          </rPr>
          <t>Kreuzsteintor (444),</t>
        </r>
        <r>
          <rPr>
            <i/>
            <sz val="9"/>
            <color indexed="81"/>
            <rFont val="Tahoma"/>
            <family val="2"/>
          </rPr>
          <t xml:space="preserve"> Altenbuch (240), </t>
        </r>
        <r>
          <rPr>
            <b/>
            <sz val="9"/>
            <color indexed="81"/>
            <rFont val="Tahoma"/>
            <family val="2"/>
          </rPr>
          <t>Wildensee (430),</t>
        </r>
        <r>
          <rPr>
            <i/>
            <sz val="9"/>
            <color indexed="81"/>
            <rFont val="Tahoma"/>
            <family val="2"/>
          </rPr>
          <t xml:space="preserve"> Eschau (160), </t>
        </r>
        <r>
          <rPr>
            <b/>
            <sz val="9"/>
            <color indexed="81"/>
            <rFont val="Tahoma"/>
            <family val="2"/>
          </rPr>
          <t>Mönchberg (255),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Röllbach, </t>
        </r>
        <r>
          <rPr>
            <i/>
            <sz val="9"/>
            <color indexed="81"/>
            <rFont val="Tahoma"/>
            <family val="2"/>
          </rPr>
          <t xml:space="preserve">Röllfeld (120 min), </t>
        </r>
        <r>
          <rPr>
            <sz val="9"/>
            <color indexed="81"/>
            <rFont val="Tahoma"/>
            <family val="2"/>
          </rPr>
          <t>Großheubach, Kleinheubach</t>
        </r>
      </text>
    </comment>
    <comment ref="F16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Geishöhe</t>
        </r>
      </text>
    </comment>
    <comment ref="G16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family val="2"/>
          </rPr>
          <t xml:space="preserve">
200 Großheubach - Streit
361 Elsava - Geishöhe
234 Wintersbach - Kreuzsteintor
190 Altenbuch - Wildensee
095 Elsava - Mönchberg</t>
        </r>
      </text>
    </comment>
    <comment ref="A17" authorId="1">
      <text>
        <r>
          <rPr>
            <b/>
            <u/>
            <sz val="9"/>
            <color indexed="81"/>
            <rFont val="Tahoma"/>
            <family val="2"/>
          </rPr>
          <t>Gnadenlos durch die Spessartkreise MIL, AB &amp; MSP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Miltenberg (130 min)</t>
        </r>
        <r>
          <rPr>
            <sz val="9"/>
            <color indexed="81"/>
            <rFont val="Tahoma"/>
            <family val="2"/>
          </rPr>
          <t xml:space="preserve">, Großheubach, Röllbach,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Elsava (158)</t>
        </r>
        <r>
          <rPr>
            <sz val="9"/>
            <color indexed="81"/>
            <rFont val="Tahoma"/>
            <family val="2"/>
          </rPr>
          <t xml:space="preserve">, Eschau, Hobbach, Dammbach, </t>
        </r>
        <r>
          <rPr>
            <b/>
            <sz val="9"/>
            <color indexed="81"/>
            <rFont val="Tahoma"/>
            <family val="2"/>
          </rPr>
          <t xml:space="preserve">Schwarzer Schnabel (568 max)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Schollbrunn, </t>
        </r>
        <r>
          <rPr>
            <i/>
            <sz val="9"/>
            <color indexed="81"/>
            <rFont val="Tahoma"/>
            <family val="2"/>
          </rPr>
          <t xml:space="preserve">Hasloch (135) </t>
        </r>
        <r>
          <rPr>
            <i/>
            <u/>
            <sz val="9"/>
            <color indexed="81"/>
            <rFont val="Tahoma"/>
            <family val="2"/>
          </rPr>
          <t>[433 Hm Differenz]</t>
        </r>
        <r>
          <rPr>
            <sz val="9"/>
            <color indexed="81"/>
            <rFont val="Tahoma"/>
            <family val="2"/>
          </rPr>
          <t>, Kreuzwertheim, Wertheim, Vockenroth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], Nassig,</t>
        </r>
        <r>
          <rPr>
            <b/>
            <sz val="9"/>
            <color indexed="81"/>
            <rFont val="Tahoma"/>
            <family val="2"/>
          </rPr>
          <t xml:space="preserve"> Neunkirchen (364)</t>
        </r>
        <r>
          <rPr>
            <sz val="9"/>
            <color indexed="81"/>
            <rFont val="Tahoma"/>
            <family val="2"/>
          </rPr>
          <t xml:space="preserve">, Eichenbühl, Bürgstadt, Miltenberg, Großheubach, Kleinheubach
</t>
        </r>
        <r>
          <rPr>
            <sz val="8"/>
            <color indexed="81"/>
            <rFont val="Tahoma"/>
            <family val="2"/>
          </rPr>
          <t>Sonntag 2013-06-30, 7:20 - 11:20 (4:00 brutto, 15 min Pause) 10 - 19 °C</t>
        </r>
      </text>
    </comment>
    <comment ref="F17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Schwarzer Schnabel</t>
        </r>
      </text>
    </comment>
    <comment ref="G17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family val="2"/>
          </rPr>
          <t xml:space="preserve">
125 Miltenberg - Mönchberg
410 Elsava - Schwarzer Schnabel
230 Hasloch - Neunkirchen</t>
        </r>
      </text>
    </comment>
    <comment ref="A18" authorId="1">
      <text>
        <r>
          <rPr>
            <b/>
            <u/>
            <sz val="9"/>
            <color indexed="81"/>
            <rFont val="Tahoma"/>
            <family val="2"/>
          </rPr>
          <t>Drei Zacken für ein Hallelujah</t>
        </r>
        <r>
          <rPr>
            <sz val="9"/>
            <color indexed="81"/>
            <rFont val="Tahoma"/>
            <family val="2"/>
          </rPr>
          <t xml:space="preserve">
Kleinheubach, Großheubach, </t>
        </r>
        <r>
          <rPr>
            <i/>
            <sz val="9"/>
            <color indexed="81"/>
            <rFont val="Tahoma"/>
            <family val="2"/>
          </rPr>
          <t>Miltenberg (128 min)</t>
        </r>
        <r>
          <rPr>
            <sz val="9"/>
            <color indexed="81"/>
            <rFont val="Tahoma"/>
            <family val="2"/>
          </rPr>
          <t xml:space="preserve">, Bürgstadt, Eichenbühl, Pfohlbach (179), Kaltenbrunn, Wettersdorf, Glashofen, </t>
        </r>
        <r>
          <rPr>
            <b/>
            <sz val="9"/>
            <color indexed="81"/>
            <rFont val="Tahoma"/>
            <family val="2"/>
          </rPr>
          <t>Neusaß (428)</t>
        </r>
        <r>
          <rPr>
            <sz val="9"/>
            <color indexed="81"/>
            <rFont val="Tahoma"/>
            <family val="2"/>
          </rPr>
          <t xml:space="preserve">, Gerolzahn (380), Rippberg, </t>
        </r>
        <r>
          <rPr>
            <i/>
            <sz val="9"/>
            <color indexed="81"/>
            <rFont val="Tahoma"/>
            <family val="2"/>
          </rPr>
          <t>Marsbach (216)</t>
        </r>
        <r>
          <rPr>
            <sz val="9"/>
            <color indexed="81"/>
            <rFont val="Tahoma"/>
            <family val="2"/>
          </rPr>
          <t>, Hornbach,</t>
        </r>
        <r>
          <rPr>
            <b/>
            <sz val="9"/>
            <color indexed="81"/>
            <rFont val="Tahoma"/>
            <family val="2"/>
          </rPr>
          <t xml:space="preserve"> Erli (426)</t>
        </r>
        <r>
          <rPr>
            <sz val="9"/>
            <color indexed="81"/>
            <rFont val="Tahoma"/>
            <family val="2"/>
          </rPr>
          <t xml:space="preserve"> [P], Hettigenbeuern, </t>
        </r>
        <r>
          <rPr>
            <i/>
            <sz val="9"/>
            <color indexed="81"/>
            <rFont val="Tahoma"/>
            <family val="2"/>
          </rPr>
          <t>Morre (228)</t>
        </r>
        <r>
          <rPr>
            <sz val="9"/>
            <color indexed="81"/>
            <rFont val="Tahoma"/>
            <family val="2"/>
          </rPr>
          <t xml:space="preserve">, Steinbach, Dicke Hecken </t>
        </r>
        <r>
          <rPr>
            <b/>
            <sz val="9"/>
            <color indexed="81"/>
            <rFont val="Tahoma"/>
            <family val="2"/>
          </rPr>
          <t>(468 max)</t>
        </r>
        <r>
          <rPr>
            <sz val="9"/>
            <color indexed="81"/>
            <rFont val="Tahoma"/>
            <family val="2"/>
          </rPr>
          <t xml:space="preserve">, Ünglert, Buch, Amorbach, Weilbach, Breitendiel
</t>
        </r>
        <r>
          <rPr>
            <sz val="8"/>
            <color indexed="81"/>
            <rFont val="Tahoma"/>
            <family val="2"/>
          </rPr>
          <t>Samstag 2016-05-21 7:50 - 11:10 (3:20 br) 10 min P, 13 - 20 °C, heiter bis wolkig</t>
        </r>
      </text>
    </comment>
    <comment ref="F18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Dicke Hecken</t>
        </r>
      </text>
    </comment>
    <comment ref="G18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sehr viele Wellen</t>
        </r>
        <r>
          <rPr>
            <sz val="9"/>
            <color indexed="81"/>
            <rFont val="Tahoma"/>
            <charset val="1"/>
          </rPr>
          <t xml:space="preserve">
280 Miltenberg - Neusaß
210 Rippberg - Erli
240 Morre - Dicke Hecken</t>
        </r>
      </text>
    </comment>
    <comment ref="A19" authorId="1">
      <text>
        <r>
          <rPr>
            <b/>
            <u/>
            <sz val="9"/>
            <color indexed="81"/>
            <rFont val="Tahoma"/>
            <family val="2"/>
          </rPr>
          <t>Granaten im Kreis</t>
        </r>
        <r>
          <rPr>
            <sz val="9"/>
            <color indexed="81"/>
            <rFont val="Tahoma"/>
            <family val="2"/>
          </rPr>
          <t xml:space="preserve">
Wellig: Kleinheubach -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Bremhof-Pass (416)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Bremhof (402)</t>
        </r>
        <r>
          <rPr>
            <sz val="9"/>
            <color indexed="81"/>
            <rFont val="Tahoma"/>
            <family val="2"/>
          </rPr>
          <t xml:space="preserve">, Vielbrunn, Eulbach, Würzberg, </t>
        </r>
        <r>
          <rPr>
            <b/>
            <sz val="9"/>
            <color indexed="81"/>
            <rFont val="Tahoma"/>
            <family val="2"/>
          </rPr>
          <t>Mies (544 max)</t>
        </r>
        <r>
          <rPr>
            <sz val="9"/>
            <color indexed="81"/>
            <rFont val="Tahoma"/>
            <family val="2"/>
          </rPr>
          <t xml:space="preserve">, Breitenbuch, Watterbach, Kirchzell, Pulvermühle, </t>
        </r>
        <r>
          <rPr>
            <i/>
            <sz val="9"/>
            <color indexed="81"/>
            <rFont val="Tahoma"/>
            <family val="2"/>
          </rPr>
          <t>Amorbach (155)</t>
        </r>
        <r>
          <rPr>
            <sz val="9"/>
            <color indexed="81"/>
            <rFont val="Tahoma"/>
            <family val="2"/>
          </rPr>
          <t xml:space="preserve">, Sommerberg-Quelle (210), </t>
        </r>
        <r>
          <rPr>
            <b/>
            <sz val="9"/>
            <color indexed="81"/>
            <rFont val="Tahoma"/>
            <family val="2"/>
          </rPr>
          <t>Neudorf (442)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Reichartshausen (397)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Wenschdorf (455)</t>
        </r>
        <r>
          <rPr>
            <sz val="9"/>
            <color indexed="81"/>
            <rFont val="Tahoma"/>
            <family val="2"/>
          </rPr>
          <t xml:space="preserve">, Miltenberg, </t>
        </r>
        <r>
          <rPr>
            <i/>
            <sz val="9"/>
            <color indexed="81"/>
            <rFont val="Tahoma"/>
            <family val="2"/>
          </rPr>
          <t>Bürgstadt (130)</t>
        </r>
        <r>
          <rPr>
            <sz val="9"/>
            <color indexed="81"/>
            <rFont val="Tahoma"/>
            <family val="2"/>
          </rPr>
          <t xml:space="preserve">, Großheubach, Kleinheubach
</t>
        </r>
        <r>
          <rPr>
            <sz val="8"/>
            <color indexed="81"/>
            <rFont val="Tahoma"/>
            <family val="2"/>
          </rPr>
          <t>Samstag 2012-03-17, 10:10-13:20 (3:10 brutto - 10 min Pause), 14-23 °C, 1.75ℓ
Sonntag 2013-04-14, 12:50-16:00 (3:10 brutto - 5 min Pause), 14-23 °C, 2.25ℓ (0.75ℓ Quelle Neudorfer Straße)</t>
        </r>
      </text>
    </comment>
    <comment ref="F19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Würzberg</t>
        </r>
      </text>
    </comment>
    <comment ref="G19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3 Wellen</t>
        </r>
        <r>
          <rPr>
            <sz val="9"/>
            <color indexed="81"/>
            <rFont val="Tahoma"/>
            <charset val="1"/>
          </rPr>
          <t xml:space="preserve">
284 Laudenbach - Bremhof Pass
142 Bremhof Ort - Würzberg
287 Amorbach - Neudorf
053 Reichartshausen - Wenschdorf 1
023 Reichartshausen - Wenschdorf 2
044 Wenschdorf Ort - Pass</t>
        </r>
      </text>
    </comment>
    <comment ref="A20" authorId="1">
      <text>
        <r>
          <rPr>
            <b/>
            <u/>
            <sz val="9"/>
            <color indexed="81"/>
            <rFont val="Tahoma"/>
            <family val="2"/>
          </rPr>
          <t xml:space="preserve">Gnadenlos durch die Spessartkreise MIL, AB &amp; MSP
</t>
        </r>
        <r>
          <rPr>
            <sz val="9"/>
            <color indexed="81"/>
            <rFont val="Tahoma"/>
            <family val="2"/>
          </rPr>
          <t xml:space="preserve">Miltenberg (130 min), Großheubach, Röllbach,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Elsava (158)</t>
        </r>
        <r>
          <rPr>
            <sz val="9"/>
            <color indexed="81"/>
            <rFont val="Tahoma"/>
            <family val="2"/>
          </rPr>
          <t xml:space="preserve">, Eschau, Hobbach, Dammbach, </t>
        </r>
        <r>
          <rPr>
            <b/>
            <sz val="9"/>
            <color indexed="81"/>
            <rFont val="Tahoma"/>
            <family val="2"/>
          </rPr>
          <t>Sonnhöh (572 max)</t>
        </r>
        <r>
          <rPr>
            <sz val="9"/>
            <color indexed="81"/>
            <rFont val="Tahoma"/>
            <family val="2"/>
          </rPr>
          <t xml:space="preserve"> [P], Schollbrunn, </t>
        </r>
        <r>
          <rPr>
            <i/>
            <sz val="9"/>
            <color indexed="81"/>
            <rFont val="Tahoma"/>
            <family val="2"/>
          </rPr>
          <t>Hasloch (135)</t>
        </r>
        <r>
          <rPr>
            <sz val="9"/>
            <color indexed="81"/>
            <rFont val="Tahoma"/>
            <family val="2"/>
          </rPr>
          <t xml:space="preserve"> [437 Hm Differenz], Kreuzwertheim, Wertheim, Vockenroth [P], Nassig, </t>
        </r>
        <r>
          <rPr>
            <b/>
            <sz val="9"/>
            <color indexed="81"/>
            <rFont val="Tahoma"/>
            <family val="2"/>
          </rPr>
          <t>Neunkirchen (364)</t>
        </r>
        <r>
          <rPr>
            <sz val="9"/>
            <color indexed="81"/>
            <rFont val="Tahoma"/>
            <family val="2"/>
          </rPr>
          <t xml:space="preserve">, Eichenbühl, Bürgstadt, Miltenberg, Promenade
</t>
        </r>
        <r>
          <rPr>
            <sz val="8"/>
            <color indexed="81"/>
            <rFont val="Tahoma"/>
            <family val="2"/>
          </rPr>
          <t>Sonntag 2016-08-07, 6:45 - 10:40 (3:55 brutto, 10 min Pause) 12 - 22 °C (auf 5:45)</t>
        </r>
      </text>
    </comment>
    <comment ref="G20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charset val="1"/>
          </rPr>
          <t xml:space="preserve">
125 Miltenberg - Mönchberg
414 Elsava - Hohe Warte (Sonnhöh)
230 Hasloch - Neunkirchen</t>
        </r>
      </text>
    </comment>
    <comment ref="A21" authorId="1">
      <text>
        <r>
          <rPr>
            <b/>
            <u/>
            <sz val="9"/>
            <color indexed="81"/>
            <rFont val="Tahoma"/>
            <family val="2"/>
          </rPr>
          <t>Sensbacher Höhe und Reußenkreuz</t>
        </r>
        <r>
          <rPr>
            <sz val="9"/>
            <color indexed="81"/>
            <rFont val="Tahoma"/>
            <charset val="1"/>
          </rPr>
          <t xml:space="preserve">
Breitendiel, Weilbach, Amorbach, Pulvermühle, Kirchzell, Ottorfszell, Ernsttal, </t>
        </r>
        <r>
          <rPr>
            <b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Ittertal:</t>
        </r>
        <r>
          <rPr>
            <sz val="9"/>
            <color indexed="81"/>
            <rFont val="Tahoma"/>
            <charset val="1"/>
          </rPr>
          <t xml:space="preserve"> Kailbach, Friedrichsdorf,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Sensbachtal:</t>
        </r>
        <r>
          <rPr>
            <sz val="9"/>
            <color indexed="81"/>
            <rFont val="Tahoma"/>
            <charset val="1"/>
          </rPr>
          <t xml:space="preserve"> Hebstahl, Sensbachtal, Stichstraße zur </t>
        </r>
        <r>
          <rPr>
            <b/>
            <sz val="9"/>
            <color indexed="81"/>
            <rFont val="Tahoma"/>
            <family val="2"/>
          </rPr>
          <t>Sensbacher Höhe (530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Tal (390)</t>
        </r>
        <r>
          <rPr>
            <sz val="9"/>
            <color indexed="81"/>
            <rFont val="Tahoma"/>
            <charset val="1"/>
          </rPr>
          <t xml:space="preserve">, Ober-Sensbach, </t>
        </r>
        <r>
          <rPr>
            <b/>
            <sz val="9"/>
            <color indexed="81"/>
            <rFont val="Tahoma"/>
            <family val="2"/>
          </rPr>
          <t>Reußenkreuz (520)</t>
        </r>
        <r>
          <rPr>
            <sz val="9"/>
            <color indexed="81"/>
            <rFont val="Tahoma"/>
            <charset val="1"/>
          </rPr>
          <t xml:space="preserve">, Hesseneck, Schöllenbach, </t>
        </r>
        <r>
          <rPr>
            <i/>
            <sz val="9"/>
            <color indexed="81"/>
            <rFont val="Tahoma"/>
            <family val="2"/>
          </rPr>
          <t>Badisch-Schöllenbach (290)</t>
        </r>
        <r>
          <rPr>
            <sz val="9"/>
            <color indexed="81"/>
            <rFont val="Tahoma"/>
            <charset val="1"/>
          </rPr>
          <t>, Hesselbach,</t>
        </r>
        <r>
          <rPr>
            <b/>
            <sz val="9"/>
            <color indexed="81"/>
            <rFont val="Tahoma"/>
            <family val="2"/>
          </rPr>
          <t xml:space="preserve"> Kolli (500)</t>
        </r>
        <r>
          <rPr>
            <sz val="9"/>
            <color indexed="81"/>
            <rFont val="Tahoma"/>
            <charset val="1"/>
          </rPr>
          <t xml:space="preserve">, Wasserscheide &amp; Retour
</t>
        </r>
        <r>
          <rPr>
            <sz val="8"/>
            <color indexed="81"/>
            <rFont val="Tahoma"/>
            <family val="2"/>
          </rPr>
          <t>Sonntag 2011-10-02, 9:45-13:30 (3:45 brutto - 5 min Pause)</t>
        </r>
      </text>
    </comment>
    <comment ref="F21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Sensbacher Höhe</t>
        </r>
      </text>
    </comment>
    <comment ref="G21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family val="2"/>
          </rPr>
          <t xml:space="preserve">
451 Miltenberg - Reisenbach
356 Gaimühle - Sensbacher Höhe
130 Sensbachtal - Reußenkreuz
210 Schöllenbach - Kolli</t>
        </r>
      </text>
    </comment>
    <comment ref="A22" authorId="0">
      <text>
        <r>
          <rPr>
            <b/>
            <u/>
            <sz val="9"/>
            <color indexed="81"/>
            <rFont val="Tahoma"/>
            <family val="2"/>
          </rPr>
          <t>Nichts für Ministranten</t>
        </r>
        <r>
          <rPr>
            <sz val="9"/>
            <color indexed="81"/>
            <rFont val="Tahoma"/>
            <family val="2"/>
          </rPr>
          <t xml:space="preserve">
Breitendiel, Weilbach, Amorbach, Beuchen, Steinbach, Mudau, Oberscheidental, Reisenbach, </t>
        </r>
        <r>
          <rPr>
            <b/>
            <sz val="9"/>
            <color indexed="81"/>
            <rFont val="Tahoma"/>
            <family val="2"/>
          </rPr>
          <t xml:space="preserve">Sendeturm (581 max), </t>
        </r>
        <r>
          <rPr>
            <u/>
            <sz val="9"/>
            <color indexed="81"/>
            <rFont val="Tahoma"/>
            <family val="2"/>
          </rPr>
          <t>Ittertal: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i/>
            <sz val="9"/>
            <color indexed="81"/>
            <rFont val="Tahoma"/>
            <family val="2"/>
          </rPr>
          <t xml:space="preserve">Gaimühle (174) </t>
        </r>
        <r>
          <rPr>
            <i/>
            <u/>
            <sz val="9"/>
            <color indexed="81"/>
            <rFont val="Tahoma"/>
            <family val="2"/>
          </rPr>
          <t>[407 Hm Differenz]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Friedrichsdorf, Kailbach, Wasserscheide, Limespfad, Privatstraße Hesselbach - Würzberg, </t>
        </r>
        <r>
          <rPr>
            <b/>
            <sz val="9"/>
            <color indexed="81"/>
            <rFont val="Tahoma"/>
            <family val="2"/>
          </rPr>
          <t xml:space="preserve">Mies (544), </t>
        </r>
        <r>
          <rPr>
            <sz val="9"/>
            <color indexed="81"/>
            <rFont val="Tahoma"/>
            <family val="2"/>
          </rPr>
          <t xml:space="preserve">Vielbrunn, Hainhaus, Brehmhof,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family val="2"/>
          </rPr>
          <t>, Kleinheubach</t>
        </r>
      </text>
    </comment>
    <comment ref="F22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Reisenbach</t>
        </r>
      </text>
    </comment>
    <comment ref="G22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family val="2"/>
          </rPr>
          <t xml:space="preserve">
451 Miltenberg - Reisenbach
370 Gaimühle - Würzberg</t>
        </r>
      </text>
    </comment>
    <comment ref="A23" authorId="1">
      <text>
        <r>
          <rPr>
            <b/>
            <u/>
            <sz val="9"/>
            <color indexed="81"/>
            <rFont val="Tahoma"/>
            <family val="2"/>
          </rPr>
          <t>Kamikazen im Südspessart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 min)</t>
        </r>
        <r>
          <rPr>
            <sz val="9"/>
            <color indexed="81"/>
            <rFont val="Tahoma"/>
            <charset val="1"/>
          </rPr>
          <t xml:space="preserve">, Großheubach, Röllfeld, Mönchberg, </t>
        </r>
        <r>
          <rPr>
            <b/>
            <sz val="9"/>
            <color indexed="81"/>
            <rFont val="Tahoma"/>
            <family val="2"/>
          </rPr>
          <t>Geiersberg (512)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Reistenhausen (130)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Geiersberg (512)</t>
        </r>
        <r>
          <rPr>
            <sz val="9"/>
            <color indexed="81"/>
            <rFont val="Tahoma"/>
            <charset val="1"/>
          </rPr>
          <t xml:space="preserve">, Mönchberg, Röllbach, </t>
        </r>
        <r>
          <rPr>
            <i/>
            <sz val="9"/>
            <color indexed="81"/>
            <rFont val="Tahoma"/>
            <family val="2"/>
          </rPr>
          <t>Rosshofweg (160)</t>
        </r>
        <r>
          <rPr>
            <sz val="9"/>
            <color indexed="81"/>
            <rFont val="Tahoma"/>
            <charset val="1"/>
          </rPr>
          <t>,</t>
        </r>
        <r>
          <rPr>
            <b/>
            <sz val="9"/>
            <color indexed="81"/>
            <rFont val="Tahoma"/>
            <family val="2"/>
          </rPr>
          <t xml:space="preserve"> Bussigberg (341)</t>
        </r>
        <r>
          <rPr>
            <sz val="9"/>
            <color indexed="81"/>
            <rFont val="Tahoma"/>
            <charset val="1"/>
          </rPr>
          <t xml:space="preserve">, Großheubach, Kleinheubach
</t>
        </r>
        <r>
          <rPr>
            <sz val="8"/>
            <color indexed="81"/>
            <rFont val="Tahoma"/>
            <family val="2"/>
          </rPr>
          <t>Pfingstsonntag 2011-06-12, 10:30 - 13:30 (3:00 brutto - 5 min Pause)
Rennradtauglich: 56,16 km, 1024 Hm</t>
        </r>
      </text>
    </comment>
    <comment ref="F23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Geiersberg</t>
        </r>
      </text>
    </comment>
    <comment ref="G23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family val="2"/>
          </rPr>
          <t xml:space="preserve">
298 Röllbach - Geiersberg
382 Reistenhausen - Geiersberg
181 Rosshofweg - Bussigberg</t>
        </r>
      </text>
    </comment>
    <comment ref="A24" authorId="2">
      <text>
        <r>
          <rPr>
            <b/>
            <u/>
            <sz val="9"/>
            <color indexed="81"/>
            <rFont val="Tahoma"/>
            <family val="2"/>
          </rPr>
          <t>Halb verloren in der grünen Hölle</t>
        </r>
        <r>
          <rPr>
            <sz val="9"/>
            <color indexed="81"/>
            <rFont val="Tahoma"/>
            <family val="2"/>
          </rPr>
          <t xml:space="preserve">
Weilbach, Amorbach, Beuchen, Steinbach, Mudau, Waldauerbach, </t>
        </r>
        <r>
          <rPr>
            <b/>
            <sz val="9"/>
            <color indexed="81"/>
            <rFont val="Tahoma"/>
            <family val="2"/>
          </rPr>
          <t>Kinzertweg (547 max)</t>
        </r>
        <r>
          <rPr>
            <sz val="9"/>
            <color indexed="81"/>
            <rFont val="Tahoma"/>
            <family val="2"/>
          </rPr>
          <t xml:space="preserve">, Wasserscheide (461), Hesselbach, Würzberg (544), Eulbach (516), Vielbrunn, Hainhaus, Bremhof, Laudenbach wellig heim
</t>
        </r>
        <r>
          <rPr>
            <sz val="8"/>
            <color indexed="81"/>
            <rFont val="Tahoma"/>
            <family val="2"/>
          </rPr>
          <t>Sonntag 2017-06-11 7:30 - 11:00 (3:30 brutto - 10 min Pause) - 13-25 °C Sonnig, Lang/Kurz, 1.5 ℓ (7:00 Uhr besser)
Ohne Kinzertweg: 72,0 km; 1000 Hm</t>
        </r>
      </text>
    </comment>
    <comment ref="F24" authorId="2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Kinzertweg</t>
        </r>
      </text>
    </comment>
    <comment ref="G24" authorId="2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1 Hauptanstieg, viele Wellen</t>
        </r>
        <r>
          <rPr>
            <sz val="9"/>
            <color indexed="81"/>
            <rFont val="Tahoma"/>
            <charset val="1"/>
          </rPr>
          <t xml:space="preserve">
420 Miltenberg - Kinzertweg</t>
        </r>
      </text>
    </comment>
    <comment ref="A25" authorId="1">
      <text>
        <r>
          <rPr>
            <b/>
            <u/>
            <sz val="9"/>
            <color indexed="81"/>
            <rFont val="Tahoma"/>
            <family val="2"/>
          </rPr>
          <t>Vom Landel ins Lazaret</t>
        </r>
        <r>
          <rPr>
            <sz val="9"/>
            <color indexed="81"/>
            <rFont val="Tahoma"/>
            <charset val="1"/>
          </rPr>
          <t xml:space="preserve">
Hainebrunnen, Osterntal, </t>
        </r>
        <r>
          <rPr>
            <b/>
            <sz val="9"/>
            <color indexed="81"/>
            <rFont val="Tahoma"/>
            <family val="2"/>
          </rPr>
          <t>Ohrnbachgraben (400)</t>
        </r>
        <r>
          <rPr>
            <sz val="9"/>
            <color indexed="81"/>
            <rFont val="Tahoma"/>
            <charset val="1"/>
          </rPr>
          <t xml:space="preserve">, Vielbrunner Weg, </t>
        </r>
        <r>
          <rPr>
            <i/>
            <sz val="9"/>
            <color indexed="81"/>
            <rFont val="Tahoma"/>
            <family val="2"/>
          </rPr>
          <t>Winnegraben (270)</t>
        </r>
        <r>
          <rPr>
            <sz val="9"/>
            <color indexed="81"/>
            <rFont val="Tahoma"/>
            <charset val="1"/>
          </rPr>
          <t xml:space="preserve">, Lattberg, Scheuerbusch (394), </t>
        </r>
        <r>
          <rPr>
            <b/>
            <sz val="9"/>
            <color indexed="81"/>
            <rFont val="Tahoma"/>
            <family val="2"/>
          </rPr>
          <t>Alte Ruhe (400)</t>
        </r>
        <r>
          <rPr>
            <sz val="9"/>
            <color indexed="81"/>
            <rFont val="Tahoma"/>
            <charset val="1"/>
          </rPr>
          <t xml:space="preserve">, Fahrnsbrunnen, </t>
        </r>
        <r>
          <rPr>
            <i/>
            <sz val="9"/>
            <color indexed="81"/>
            <rFont val="Tahoma"/>
            <family val="2"/>
          </rPr>
          <t>Molkengraben (235)</t>
        </r>
        <r>
          <rPr>
            <sz val="9"/>
            <color indexed="81"/>
            <rFont val="Tahoma"/>
            <charset val="1"/>
          </rPr>
          <t xml:space="preserve">, Maurusweg (400), </t>
        </r>
        <r>
          <rPr>
            <b/>
            <sz val="9"/>
            <color indexed="81"/>
            <rFont val="Tahoma"/>
            <family val="2"/>
          </rPr>
          <t>vor Kreuzeiche (420 max)</t>
        </r>
        <r>
          <rPr>
            <sz val="9"/>
            <color indexed="81"/>
            <rFont val="Tahoma"/>
            <charset val="1"/>
          </rPr>
          <t xml:space="preserve">, Ernstbrunnen, Weichtal, Breitendieler Wald
</t>
        </r>
        <r>
          <rPr>
            <sz val="8"/>
            <color indexed="81"/>
            <rFont val="Tahoma"/>
            <family val="2"/>
          </rPr>
          <t>Sonntag, 2015-11-08, 9:20 - 12:30, 3:10 br, 11-15°C, trocken, teilweise sonnig, 1ℓ
Fronleichnam, 2016-05-26, 9:50 - 13:00, 3:10 br, 13-20°C, sonnig, 1ℓ
Alternative Landelweg/Fahrnsbrunnen: +44 Hm; Alternative Hessen: +10 Hm</t>
        </r>
      </text>
    </comment>
    <comment ref="A26" authorId="1">
      <text>
        <r>
          <rPr>
            <b/>
            <u/>
            <sz val="9"/>
            <color indexed="81"/>
            <rFont val="Tahoma"/>
            <family val="2"/>
          </rPr>
          <t>Helden im Höllgrund</t>
        </r>
        <r>
          <rPr>
            <sz val="9"/>
            <color indexed="81"/>
            <rFont val="Tahoma"/>
            <family val="2"/>
          </rPr>
          <t xml:space="preserve">
Miltenberg, Weilbach, Amorbach, Steinbach, Mudau, Ober-Scheidental, Wagenschwend, </t>
        </r>
        <r>
          <rPr>
            <b/>
            <sz val="9"/>
            <color indexed="81"/>
            <rFont val="Tahoma"/>
            <family val="2"/>
          </rPr>
          <t>Schwand (543 max)</t>
        </r>
        <r>
          <rPr>
            <sz val="9"/>
            <color indexed="81"/>
            <rFont val="Tahoma"/>
            <family val="2"/>
          </rPr>
          <t xml:space="preserve">, Waldbrunn,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family val="2"/>
          </rPr>
          <t xml:space="preserve">, Friedrichsdorf, Kailbach, </t>
        </r>
        <r>
          <rPr>
            <b/>
            <sz val="9"/>
            <color indexed="81"/>
            <rFont val="Tahoma"/>
            <family val="2"/>
          </rPr>
          <t>Seitzenbuche (461)</t>
        </r>
        <r>
          <rPr>
            <sz val="9"/>
            <color indexed="81"/>
            <rFont val="Tahoma"/>
            <family val="2"/>
          </rPr>
          <t xml:space="preserve">, Ernsttal, Ottorfszell, Kirchzell, Amorbach, Weilbach, Breitendiel
</t>
        </r>
        <r>
          <rPr>
            <sz val="8"/>
            <color indexed="81"/>
            <rFont val="Tahoma"/>
            <family val="2"/>
          </rPr>
          <t>Samstag 2013-07-06, 07:05 - 11:15 (0 min Pause) 13 - 20 °C, Nebel - Sonnig, 1.5ℓ</t>
        </r>
      </text>
    </comment>
    <comment ref="F26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Schwand</t>
        </r>
      </text>
    </comment>
    <comment ref="G26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Hauptanstiege:</t>
        </r>
        <r>
          <rPr>
            <sz val="9"/>
            <color indexed="81"/>
            <rFont val="Tahoma"/>
            <charset val="1"/>
          </rPr>
          <t xml:space="preserve">
413 Miltenberg - Schwand
287 Gaimühle - Seitzenbuche</t>
        </r>
      </text>
    </comment>
    <comment ref="A27" authorId="1">
      <text>
        <r>
          <rPr>
            <b/>
            <u/>
            <sz val="9"/>
            <color indexed="81"/>
            <rFont val="Tahoma"/>
            <family val="2"/>
          </rPr>
          <t>Extremisten unterwegs</t>
        </r>
        <r>
          <rPr>
            <sz val="9"/>
            <color indexed="81"/>
            <rFont val="Tahoma"/>
            <family val="2"/>
          </rPr>
          <t xml:space="preserve">
Miltenberg - Riedern: Radweg </t>
        </r>
        <r>
          <rPr>
            <i/>
            <sz val="9"/>
            <color indexed="81"/>
            <rFont val="Tahoma"/>
            <family val="2"/>
          </rPr>
          <t>(127 min)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</t>
        </r>
        <r>
          <rPr>
            <b/>
            <sz val="9"/>
            <color indexed="81"/>
            <rFont val="Tahoma"/>
            <family val="2"/>
          </rPr>
          <t>Guggenberg Landesgrenze (406)</t>
        </r>
        <r>
          <rPr>
            <sz val="9"/>
            <color indexed="81"/>
            <rFont val="Tahoma"/>
            <family val="2"/>
          </rPr>
          <t xml:space="preserve">, Rütschdorf, Dornberg, Schlempertshof, </t>
        </r>
        <r>
          <rPr>
            <i/>
            <sz val="9"/>
            <color indexed="81"/>
            <rFont val="Tahoma"/>
            <family val="2"/>
          </rPr>
          <t>Lochbach (350)</t>
        </r>
        <r>
          <rPr>
            <sz val="9"/>
            <color indexed="81"/>
            <rFont val="Tahoma"/>
            <family val="2"/>
          </rPr>
          <t xml:space="preserve">, Höpfingen vorbei, </t>
        </r>
        <r>
          <rPr>
            <b/>
            <sz val="9"/>
            <color indexed="81"/>
            <rFont val="Tahoma"/>
            <family val="2"/>
          </rPr>
          <t>Hohe Buche (440)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</t>
        </r>
        <r>
          <rPr>
            <b/>
            <sz val="9"/>
            <color indexed="81"/>
            <rFont val="Tahoma"/>
            <family val="2"/>
          </rPr>
          <t>Geierspitze (444)</t>
        </r>
        <r>
          <rPr>
            <sz val="9"/>
            <color indexed="81"/>
            <rFont val="Tahoma"/>
            <family val="2"/>
          </rPr>
          <t xml:space="preserve"> Walldürn - Amorbach: Radweg, </t>
        </r>
        <r>
          <rPr>
            <i/>
            <sz val="9"/>
            <color indexed="81"/>
            <rFont val="Tahoma"/>
            <family val="2"/>
          </rPr>
          <t>Amorbach (150)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>Neudorf (462 max)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 &amp; retour, Weilbach, Breitendiel
</t>
        </r>
        <r>
          <rPr>
            <sz val="8"/>
            <color indexed="81"/>
            <rFont val="Tahoma"/>
            <family val="2"/>
          </rPr>
          <t>Sonntag 2014-07-06, 9:30 - 12:50 (3:20 brutto, 10 min Pause) 24 - 30 °C 2.5ℓ (0.75ℓ Armenbrunnen)
Klassik ohne Walldürn: 61,98 km 1012 HM</t>
        </r>
      </text>
    </comment>
    <comment ref="F27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Neudorf Sendemast</t>
        </r>
      </text>
    </comment>
    <comment ref="G27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viele Wellen</t>
        </r>
        <r>
          <rPr>
            <sz val="9"/>
            <color indexed="81"/>
            <rFont val="Tahoma"/>
            <charset val="1"/>
          </rPr>
          <t xml:space="preserve">
278 Miltenberg - Guggenberg
090 Lochbach - Hohe Buche
312 Amorbach - Neudorf</t>
        </r>
      </text>
    </comment>
    <comment ref="A28" authorId="1">
      <text>
        <r>
          <rPr>
            <b/>
            <u/>
            <sz val="9"/>
            <color indexed="81"/>
            <rFont val="Tahoma"/>
            <family val="2"/>
          </rPr>
          <t>Drei Crosszeichen</t>
        </r>
        <r>
          <rPr>
            <sz val="9"/>
            <color indexed="81"/>
            <rFont val="Tahoma"/>
            <family val="2"/>
          </rPr>
          <t xml:space="preserve">
Miltenberg - Pfohlbach: Radweg </t>
        </r>
        <r>
          <rPr>
            <i/>
            <sz val="9"/>
            <color indexed="81"/>
            <rFont val="Tahoma"/>
            <family val="2"/>
          </rPr>
          <t>(127 min)</t>
        </r>
        <r>
          <rPr>
            <sz val="9"/>
            <color indexed="81"/>
            <rFont val="Tahoma"/>
            <family val="2"/>
          </rPr>
          <t xml:space="preserve">, Kaltenbrunn, Reinhardsachsen, Cross: Feldwege, Alter Wald (458) [P], </t>
        </r>
        <r>
          <rPr>
            <b/>
            <sz val="9"/>
            <color indexed="81"/>
            <rFont val="Tahoma"/>
            <family val="2"/>
          </rPr>
          <t>Neudorf Sendeturm (462 max)</t>
        </r>
        <r>
          <rPr>
            <sz val="9"/>
            <color indexed="81"/>
            <rFont val="Tahoma"/>
            <family val="2"/>
          </rPr>
          <t xml:space="preserve">, Neudorf, Amorbach, </t>
        </r>
        <r>
          <rPr>
            <i/>
            <sz val="9"/>
            <color indexed="81"/>
            <rFont val="Tahoma"/>
            <family val="2"/>
          </rPr>
          <t>Weilbach (140)</t>
        </r>
        <r>
          <rPr>
            <sz val="9"/>
            <color indexed="81"/>
            <rFont val="Tahoma"/>
            <family val="2"/>
          </rPr>
          <t xml:space="preserve">, Ohrnbachtal, Cross: Geyersmühle - Alte Laudenbacher Straße, </t>
        </r>
        <r>
          <rPr>
            <b/>
            <sz val="9"/>
            <color indexed="81"/>
            <rFont val="Tahoma"/>
            <family val="2"/>
          </rPr>
          <t>Hügelgräber (416)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Laudenbach (128)</t>
        </r>
        <r>
          <rPr>
            <sz val="9"/>
            <color indexed="81"/>
            <rFont val="Tahoma"/>
            <family val="2"/>
          </rPr>
          <t xml:space="preserve">, Kleinheubach (140), </t>
        </r>
        <r>
          <rPr>
            <b/>
            <sz val="9"/>
            <color indexed="81"/>
            <rFont val="Tahoma"/>
            <family val="2"/>
          </rPr>
          <t>Heunesäulen (240)</t>
        </r>
        <r>
          <rPr>
            <sz val="9"/>
            <color indexed="81"/>
            <rFont val="Tahoma"/>
            <family val="2"/>
          </rPr>
          <t xml:space="preserve">, Miltenberg
</t>
        </r>
        <r>
          <rPr>
            <sz val="8"/>
            <color indexed="81"/>
            <rFont val="Tahoma"/>
            <family val="2"/>
          </rPr>
          <t xml:space="preserve">Allerheiligen 2014-11-01; 10:10 - 13:53 (10 Min P); 10 - 15 °C; Neblig - Sonnig; 2ℓ
Samstag 2015-06-16; 8:10 - 11:40 (3:25; Ø19,4); 9 - 19 °C; Sonnig - Hochnebel; 1,5ℓ
</t>
        </r>
        <r>
          <rPr>
            <u/>
            <sz val="8"/>
            <color indexed="81"/>
            <rFont val="Tahoma"/>
            <family val="2"/>
          </rPr>
          <t>Direkt ins Ohrnbachtal (30,78 km 450 Hm)</t>
        </r>
        <r>
          <rPr>
            <sz val="8"/>
            <color indexed="81"/>
            <rFont val="Tahoma"/>
            <family val="2"/>
          </rPr>
          <t xml:space="preserve">
Karfreitag 2015-04-03; 9:30 - 11:15 (1:45; Ø17,5); 5 - 10°C; Sonnig; 0.75ℓ</t>
        </r>
      </text>
    </comment>
    <comment ref="F28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Neudorf Sendemast</t>
        </r>
      </text>
    </comment>
    <comment ref="G28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Anstiege, viele Wellen</t>
        </r>
        <r>
          <rPr>
            <sz val="9"/>
            <color indexed="81"/>
            <rFont val="Tahoma"/>
            <charset val="1"/>
          </rPr>
          <t xml:space="preserve">
334 Miltenberg - Neudorf Sendemast
276 Weilbach - Bremhof-Pass
100 Kleinheubach - Heunesäulen</t>
        </r>
      </text>
    </comment>
    <comment ref="A29" authorId="1">
      <text>
        <r>
          <rPr>
            <b/>
            <u/>
            <sz val="9"/>
            <color indexed="81"/>
            <rFont val="Tahoma"/>
            <family val="2"/>
          </rPr>
          <t>Royaler Spessartritt</t>
        </r>
        <r>
          <rPr>
            <sz val="9"/>
            <color indexed="81"/>
            <rFont val="Tahoma"/>
            <charset val="1"/>
          </rPr>
          <t xml:space="preserve">
Großheubach, </t>
        </r>
        <r>
          <rPr>
            <i/>
            <sz val="9"/>
            <color indexed="81"/>
            <rFont val="Tahoma"/>
            <family val="2"/>
          </rPr>
          <t>Röllfeld (123 min)</t>
        </r>
        <r>
          <rPr>
            <sz val="9"/>
            <color indexed="81"/>
            <rFont val="Tahoma"/>
            <charset val="1"/>
          </rPr>
          <t xml:space="preserve">, Röllbach, Schmachtenberg, </t>
        </r>
        <r>
          <rPr>
            <b/>
            <sz val="9"/>
            <color indexed="81"/>
            <rFont val="Tahoma"/>
            <family val="2"/>
          </rPr>
          <t>Bisch-Berg (300)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Galgenberg (315)</t>
        </r>
        <r>
          <rPr>
            <sz val="9"/>
            <color indexed="81"/>
            <rFont val="Tahoma"/>
            <charset val="1"/>
          </rPr>
          <t xml:space="preserve">, Streit, Schippach, </t>
        </r>
        <r>
          <rPr>
            <i/>
            <sz val="9"/>
            <color indexed="81"/>
            <rFont val="Tahoma"/>
            <family val="2"/>
          </rPr>
          <t>Elsenfeld vorbei (125)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Bildeckhöhe (348 max)</t>
        </r>
        <r>
          <rPr>
            <sz val="9"/>
            <color indexed="81"/>
            <rFont val="Tahoma"/>
            <charset val="1"/>
          </rPr>
          <t xml:space="preserve">, Eichelsbach, </t>
        </r>
        <r>
          <rPr>
            <i/>
            <sz val="9"/>
            <color indexed="81"/>
            <rFont val="Tahoma"/>
            <family val="2"/>
          </rPr>
          <t>Hofstetten Kreisel (170)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Eichelsbach (330)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Eschau (158)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Streiterbild (303)</t>
        </r>
        <r>
          <rPr>
            <sz val="9"/>
            <color indexed="81"/>
            <rFont val="Tahoma"/>
            <charset val="1"/>
          </rPr>
          <t xml:space="preserve">, Wendelinuskapelle, Mönchberg vorbei, Röllbach, Großheubach
</t>
        </r>
        <r>
          <rPr>
            <sz val="8"/>
            <color indexed="81"/>
            <rFont val="Tahoma"/>
            <family val="2"/>
          </rPr>
          <t>Samstag 2011-10-01, 9:45 - 13:00 (3:15 brutto - 15 min Pause)</t>
        </r>
      </text>
    </comment>
    <comment ref="F29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Bildeckhöhe</t>
        </r>
      </text>
    </comment>
    <comment ref="G29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charset val="1"/>
          </rPr>
          <t xml:space="preserve">
177 Röllfeld - Bischberg
105 Bergwerk - Galgenberg
223 Elsenfeld - Bildeckhöhe
160 Hofstetten - Eichelsbach
150 Eschau - Streit</t>
        </r>
      </text>
    </comment>
  </commentList>
</comments>
</file>

<file path=xl/comments8.xml><?xml version="1.0" encoding="utf-8"?>
<comments xmlns="http://schemas.openxmlformats.org/spreadsheetml/2006/main">
  <authors>
    <author>FAN</author>
    <author>fan</author>
  </authors>
  <commentList>
    <comment ref="D1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&gt;= 1500</t>
        </r>
      </text>
    </comment>
    <comment ref="F1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G1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Maximaler Hauptanstieg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Häufigkeit
 Gold - Oft gefahren
 Silber - Selten gefahren
 Bronze - Einmal gefahren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Verkehr
 Gold - Wenig Verkehr RR / Wenig Asphalt MTB
 Silber - Normaler Verkehr RR / Hälfte Asphalt MTB
 Bronze - Viel Verkehr RR / Überwiegend Asphalt MTB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Strecke
 Gold - Wenige Kreuzungen RR / Flüssige Wege MTB
 Silber - Einige Kreuzungen RR / Teils Rampen, schlechte Wege MTB
 Bronze - Viele Kreuzungen, Ortsdurchfahrten RR / Steile Rampen, verblockte Wege MTB
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Landschaft
 Gold
 Silber
 Bronze
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Gesamtnote
 - Gold
 - Silber
 - Bronze</t>
        </r>
      </text>
    </comment>
    <comment ref="A2" authorId="1">
      <text>
        <r>
          <rPr>
            <b/>
            <u/>
            <sz val="9"/>
            <color indexed="81"/>
            <rFont val="Tahoma"/>
            <family val="2"/>
          </rPr>
          <t>Iron Hill Suicide (7 Anstiege)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Wannenberg (482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Ospis (439)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Heu-Bach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Bussigberg (341)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(123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Alte Ruhe (418)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Winnteal (290)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Steinkopf (460)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Weichtal (280)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Rüdernhöhe (418)</t>
        </r>
        <r>
          <rPr>
            <sz val="9"/>
            <color indexed="81"/>
            <rFont val="Tahoma"/>
            <family val="2"/>
          </rPr>
          <t>, Springerquelle ab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 xml:space="preserve">Samstag 2012-04-28, 08:45 - 15:25 (6:40 brutto - 20 min Pause), 17 - 30 °C, Rucksack, 3ℓ, Quelle Wannenberg
</t>
        </r>
        <r>
          <rPr>
            <sz val="7"/>
            <color indexed="81"/>
            <rFont val="Tahoma"/>
            <family val="2"/>
          </rPr>
          <t>Leer bis auf Wannenberg/Ospis/Bussig, 1  MTB</t>
        </r>
      </text>
    </comment>
    <comment ref="F2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Wannenberg</t>
        </r>
      </text>
    </comment>
    <comment ref="G2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7 Hauptanstiege</t>
        </r>
        <r>
          <rPr>
            <sz val="9"/>
            <color indexed="81"/>
            <rFont val="Tahoma"/>
            <family val="2"/>
          </rPr>
          <t xml:space="preserve">
354 Miltenberg - Kohlplatte
332 Eichenbühl - Wannenberg
312 Miltenberg - Ospis
155 Heubach - Bussigberg
295 Kleinheubach - Alte Ruhe
170 Winnetal - Steinkopf
138 Weichtal - Rüdernhöhe</t>
        </r>
      </text>
    </comment>
    <comment ref="A3" authorId="1">
      <text>
        <r>
          <rPr>
            <b/>
            <u/>
            <sz val="9"/>
            <color indexed="81"/>
            <rFont val="Tahoma"/>
            <family val="2"/>
          </rPr>
          <t>Iron Hill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Wannenberg (482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Ospis (439)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Heu-Bach (180)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Bussigberg (341)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(123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Steinkopf (460)</t>
        </r>
        <r>
          <rPr>
            <i/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Samstag 2011-09-24, 10:00 - 15:00 (5:00 brutto - 10 min Pause), 10 - 22 °C, Rucksack, 3ℓ</t>
        </r>
      </text>
    </comment>
    <comment ref="F3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Wannenberg</t>
        </r>
      </text>
    </comment>
    <comment ref="G3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family val="2"/>
          </rPr>
          <t xml:space="preserve">
354 Miltenberg - Kohlplatte
332 Eichenbühl - Wannenberg
312 Miltenberg - Ospis
155 Heubach - Bussigberg
337 Kleinheubach - Steinkopf</t>
        </r>
      </text>
    </comment>
    <comment ref="A4" authorId="1">
      <text>
        <r>
          <rPr>
            <b/>
            <u/>
            <sz val="9"/>
            <color indexed="81"/>
            <rFont val="Tahoma"/>
            <family val="2"/>
          </rPr>
          <t>Iron Hill Wild (Zivilisationsvermeidend)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Wannenberg (482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Ospis (439)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Heu-Bach (180)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Bussigberg (341)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(123 min)</t>
        </r>
        <r>
          <rPr>
            <sz val="9"/>
            <color indexed="81"/>
            <rFont val="Tahoma"/>
            <family val="2"/>
          </rPr>
          <t xml:space="preserve">, Alte Ruhe (410), </t>
        </r>
        <r>
          <rPr>
            <b/>
            <sz val="9"/>
            <color indexed="81"/>
            <rFont val="Tahoma"/>
            <family val="2"/>
          </rPr>
          <t>Rauschen (456)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Weichtal (280)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Rüdernhöhe (418)</t>
        </r>
        <r>
          <rPr>
            <sz val="9"/>
            <color indexed="81"/>
            <rFont val="Tahoma"/>
            <family val="2"/>
          </rPr>
          <t xml:space="preserve">, Springerquelle ab
</t>
        </r>
        <r>
          <rPr>
            <sz val="8"/>
            <color indexed="81"/>
            <rFont val="Tahoma"/>
            <family val="2"/>
          </rPr>
          <t xml:space="preserve">Samstag 2016-05-07, 07:55 - 15:10 (6:15 brutto - 15 min Pause), 8 - 20 °C, Sonnig, Rucksack, 2.75ℓ, 0.5ℓ Quelle Heidelbrunnen
</t>
        </r>
        <r>
          <rPr>
            <sz val="7"/>
            <color indexed="81"/>
            <rFont val="Tahoma"/>
            <family val="2"/>
          </rPr>
          <t>Leer bis auf Ospis, beste Bedingungen</t>
        </r>
      </text>
    </comment>
    <comment ref="F4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Wannenberg</t>
        </r>
      </text>
    </comment>
    <comment ref="G4" authorId="1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charset val="1"/>
          </rPr>
          <t xml:space="preserve">
354 Miltenberg - Kohlplatte
332 Eichenbühl - Wannenberg
312 Miltenberg - Ospis
155 Heubach - Bussigberg
285 Kleinheubach - Alte Ruhe
138 Weichtal - Rüdernhöhe</t>
        </r>
      </text>
    </comment>
    <comment ref="A5" authorId="1">
      <text>
        <r>
          <rPr>
            <b/>
            <u/>
            <sz val="9"/>
            <color indexed="81"/>
            <rFont val="Tahoma"/>
            <family val="2"/>
          </rPr>
          <t>Iron Hill Wild aber Nato ab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Wannenberg (482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Ospis (439)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Heu-Bach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Bussigberg (341)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(123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Alte Ruhe (410)</t>
        </r>
        <r>
          <rPr>
            <sz val="9"/>
            <color indexed="81"/>
            <rFont val="Tahoma"/>
            <charset val="1"/>
          </rPr>
          <t xml:space="preserve">, Steinkopf (464), Nato ab
</t>
        </r>
        <r>
          <rPr>
            <sz val="8"/>
            <color indexed="81"/>
            <rFont val="Tahoma"/>
            <family val="2"/>
          </rPr>
          <t>Samstag 2017-03-25, 07:45 - 13:45, 0 - 12 °C, Sonnig, Rucksack, lang-lang, Winterjacke, 2.75ℓ, 0.5ℓ Quelle Heidelbrunnen
Samstag 2018-04-21, 07:30 - 13:30, 10 - 22 °C, Sonnig, 2.75ℓ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7"/>
            <color indexed="81"/>
            <rFont val="Tahoma"/>
            <family val="2"/>
          </rPr>
          <t>Route leer * 2</t>
        </r>
      </text>
    </comment>
    <comment ref="F5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Wannenberg</t>
        </r>
      </text>
    </comment>
    <comment ref="G5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family val="2"/>
          </rPr>
          <t xml:space="preserve">
354 Miltenberg - Kohlplatte
332 Eichenbühl - Wannenberg
312 Miltenberg - Ospis
155 Heubach - Bussigberg
285 Kleinheubach - Alte Ruhe
</t>
        </r>
      </text>
    </comment>
    <comment ref="A6" authorId="0">
      <text>
        <r>
          <rPr>
            <b/>
            <u/>
            <sz val="9"/>
            <color indexed="81"/>
            <rFont val="Tahoma"/>
            <family val="2"/>
          </rPr>
          <t>Spessart-Specht mit allen Hilights des Südspessarts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 min)</t>
        </r>
        <r>
          <rPr>
            <sz val="9"/>
            <color indexed="81"/>
            <rFont val="Tahoma"/>
            <charset val="1"/>
          </rPr>
          <t xml:space="preserve">, Großheubach, Röllbach, Schmachtenberg, </t>
        </r>
        <r>
          <rPr>
            <b/>
            <sz val="9"/>
            <color indexed="81"/>
            <rFont val="Tahoma"/>
            <family val="2"/>
          </rPr>
          <t>Galgenberg (315)</t>
        </r>
        <r>
          <rPr>
            <sz val="9"/>
            <color indexed="81"/>
            <rFont val="Tahoma"/>
            <charset val="1"/>
          </rPr>
          <t xml:space="preserve">, Streit, Neuhof, </t>
        </r>
        <r>
          <rPr>
            <i/>
            <sz val="9"/>
            <color indexed="81"/>
            <rFont val="Tahoma"/>
            <family val="2"/>
          </rPr>
          <t>Eschau (160)</t>
        </r>
        <r>
          <rPr>
            <sz val="9"/>
            <color indexed="81"/>
            <rFont val="Tahoma"/>
            <charset val="1"/>
          </rPr>
          <t xml:space="preserve">, Unteraulenbach, Hobbach, Wintersbach, </t>
        </r>
        <r>
          <rPr>
            <b/>
            <sz val="9"/>
            <color indexed="81"/>
            <rFont val="Tahoma"/>
            <family val="2"/>
          </rPr>
          <t>Geishöhe (521)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Wintersbach (210)</t>
        </r>
        <r>
          <rPr>
            <sz val="9"/>
            <color indexed="81"/>
            <rFont val="Tahoma"/>
            <charset val="1"/>
          </rPr>
          <t xml:space="preserve">, Krausenbach, Rohrbrunn, </t>
        </r>
        <r>
          <rPr>
            <b/>
            <sz val="9"/>
            <color indexed="81"/>
            <rFont val="Tahoma"/>
            <family val="2"/>
          </rPr>
          <t>Geiersberg Breitsohl (586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Abzweigung Altenbuch (260)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Kreuzsteintor (444)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Altenbuch (240)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Wildensee (430)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Eschau (160)</t>
        </r>
        <r>
          <rPr>
            <sz val="9"/>
            <color indexed="81"/>
            <rFont val="Tahoma"/>
            <charset val="1"/>
          </rPr>
          <t>, &lt;</t>
        </r>
        <r>
          <rPr>
            <b/>
            <sz val="9"/>
            <color indexed="81"/>
            <rFont val="Tahoma"/>
            <family val="2"/>
          </rPr>
          <t>Geiersberg Mönchberg (512)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Tahoma"/>
            <charset val="1"/>
          </rPr>
          <t xml:space="preserve">, Röllbach, Großheubach, Kleinheubach
</t>
        </r>
        <r>
          <rPr>
            <sz val="8"/>
            <color indexed="81"/>
            <rFont val="Tahoma"/>
            <family val="2"/>
          </rPr>
          <t>Samstag 2010-07-10, 6:50 - 11:55 (5:05 brutto - 6 min Pause)</t>
        </r>
      </text>
    </comment>
    <comment ref="F6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Geiersberg Breitsohl</t>
        </r>
      </text>
    </comment>
    <comment ref="G6" authorId="0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charset val="1"/>
          </rPr>
          <t xml:space="preserve">
200 Großheubach - Streit
361 Elsava - Geishöhe
376 Wintersbach - Geiersberg Breitsohl
184 Abzweigung Altenbuch - Kreuzsteintor
190 Altenbuch - Wildensee
352 Elsava - Geiersberg Mönchberg</t>
        </r>
      </text>
    </comment>
    <comment ref="A7" authorId="1">
      <text>
        <r>
          <rPr>
            <b/>
            <u/>
            <sz val="9"/>
            <color indexed="81"/>
            <rFont val="Tahoma"/>
            <family val="2"/>
          </rPr>
          <t>Himmelfahrtskommando ODW</t>
        </r>
        <r>
          <rPr>
            <sz val="9"/>
            <color indexed="81"/>
            <rFont val="Tahoma"/>
            <charset val="1"/>
          </rPr>
          <t xml:space="preserve">
Weilbach, Amorbach, Pulvermühle, Kirchzell, Ottorfszell, Ernsttal, Wasserscheide (461), </t>
        </r>
        <r>
          <rPr>
            <b/>
            <sz val="9"/>
            <color indexed="81"/>
            <rFont val="Tahoma"/>
            <family val="2"/>
          </rPr>
          <t>Kolli (500)</t>
        </r>
        <r>
          <rPr>
            <sz val="9"/>
            <color indexed="81"/>
            <rFont val="Tahoma"/>
            <charset val="1"/>
          </rPr>
          <t xml:space="preserve">, Hesselbach, </t>
        </r>
        <r>
          <rPr>
            <i/>
            <sz val="9"/>
            <color indexed="81"/>
            <rFont val="Tahoma"/>
            <family val="2"/>
          </rPr>
          <t>Schöllenbach (290)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Reußenkreuz (520)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Hetzbach (300)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Höhe (505)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Sensbachtal (390)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Sensbacher Höhe (530)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Beerfelden (430)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Sensbacher Höhe (530)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Sender Reisenbach (581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Ort (535)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Reisenberg (568)</t>
        </r>
        <r>
          <rPr>
            <sz val="9"/>
            <color indexed="81"/>
            <rFont val="Tahoma"/>
            <charset val="1"/>
          </rPr>
          <t xml:space="preserve">, Oberscheidental, Mudau, Steinbach, Beuchen, Amorbach, Weilbach, Breitendiel
</t>
        </r>
        <r>
          <rPr>
            <u/>
            <sz val="9"/>
            <color indexed="81"/>
            <rFont val="Tahoma"/>
            <family val="2"/>
          </rPr>
          <t>Flow (Ohne Sensbacher Höhe)</t>
        </r>
        <r>
          <rPr>
            <sz val="9"/>
            <color indexed="81"/>
            <rFont val="Tahoma"/>
            <charset val="1"/>
          </rPr>
          <t xml:space="preserve"> 92,42 km 1300 Hm 3:50:45 Ø 24,0
</t>
        </r>
        <r>
          <rPr>
            <u/>
            <sz val="9"/>
            <color indexed="81"/>
            <rFont val="Tahoma"/>
            <family val="2"/>
          </rPr>
          <t>Original (Ohne Hetzbach)</t>
        </r>
        <r>
          <rPr>
            <sz val="9"/>
            <color indexed="81"/>
            <rFont val="Tahoma"/>
            <charset val="1"/>
          </rPr>
          <t xml:space="preserve"> 97,14 km 1440 Hm 4:11:47
</t>
        </r>
        <r>
          <rPr>
            <u/>
            <sz val="9"/>
            <color indexed="81"/>
            <rFont val="Tahoma"/>
            <family val="2"/>
          </rPr>
          <t>Klassik (Ohne Beefelden)</t>
        </r>
        <r>
          <rPr>
            <sz val="9"/>
            <color indexed="81"/>
            <rFont val="Tahoma"/>
            <charset val="1"/>
          </rPr>
          <t xml:space="preserve"> 105,75 km 1645 Hm (205 Hm Hetzbach - Höhe: 300 - 505) ca. 4:35
</t>
        </r>
        <r>
          <rPr>
            <u/>
            <sz val="9"/>
            <color indexed="81"/>
            <rFont val="Tahoma"/>
            <family val="2"/>
          </rPr>
          <t>ODW (Mit Hetzbach &amp; Beerfelden)</t>
        </r>
        <r>
          <rPr>
            <sz val="9"/>
            <color indexed="81"/>
            <rFont val="Tahoma"/>
            <charset val="1"/>
          </rPr>
          <t xml:space="preserve"> 109,87 km 1755 Hm (100 Hm Beerfelden - Sensbacher Höhe: 430 - 530; 10 Hm Reisenberg) 4:48:29
</t>
        </r>
        <r>
          <rPr>
            <sz val="8"/>
            <color indexed="81"/>
            <rFont val="Tahoma"/>
            <family val="2"/>
          </rPr>
          <t>ODW: Pfingstsonntag 2013-05-19, 7:45 - 12:45 (5:00 brutto, 10 min Pause) sehr wenig Verkehr, 12 - 20 °C, Armlinge, 2ℓ
Original: Himmelfahrts-Mittwoch 2012-08-15, 7:50 - 12:10 (4:20 brutto, 10 min Pause) sehr wenig Verkehr, 20 - 25 °C
Flow: Samstag 2013-06-15, 7:30 - 11:30 (4:00 brutto, 10 min Pause) wenig Verkehr, 12 - 20 °C, Armlinge, 1.75ℓ</t>
        </r>
      </text>
    </comment>
    <comment ref="F7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Sender Reisenbach</t>
        </r>
      </text>
    </comment>
    <comment ref="G7" authorId="1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family val="2"/>
          </rPr>
          <t xml:space="preserve">
370 Miltenberg - Kolli
230 Schöllenbach - Reußenkreuz
205 Hetzbach - Höhe
140 Sensbachtal - Sensbacher Höhe
100 Beerfelden - Sensbacher Höhe
406 Gaimühle - Sender Reisenbach</t>
        </r>
      </text>
    </comment>
    <comment ref="A8" authorId="0">
      <text>
        <r>
          <rPr>
            <b/>
            <u/>
            <sz val="9"/>
            <color indexed="81"/>
            <rFont val="Tahoma"/>
            <family val="2"/>
          </rPr>
          <t>Goldenes Kleeblatt um die Perle des Mains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(129)</t>
        </r>
        <r>
          <rPr>
            <sz val="9"/>
            <color indexed="81"/>
            <rFont val="Tahoma"/>
            <charset val="1"/>
          </rPr>
          <t xml:space="preserve">, Großheubach, Röllbach, Mönchberg, </t>
        </r>
        <r>
          <rPr>
            <b/>
            <sz val="9"/>
            <color indexed="81"/>
            <rFont val="Tahoma"/>
            <family val="2"/>
          </rPr>
          <t>Geiersberg (512 max)</t>
        </r>
        <r>
          <rPr>
            <sz val="9"/>
            <color indexed="81"/>
            <rFont val="Tahoma"/>
            <charset val="1"/>
          </rPr>
          <t xml:space="preserve">, Collenberg, </t>
        </r>
        <r>
          <rPr>
            <sz val="9"/>
            <color indexed="81"/>
            <rFont val="Tahoma"/>
            <family val="2"/>
          </rPr>
          <t>Freudenberg</t>
        </r>
        <r>
          <rPr>
            <i/>
            <sz val="9"/>
            <color indexed="81"/>
            <rFont val="Tahoma"/>
            <family val="2"/>
          </rPr>
          <t xml:space="preserve"> (Radweg 130)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Wildbachtal:</t>
        </r>
        <r>
          <rPr>
            <sz val="9"/>
            <color indexed="81"/>
            <rFont val="Tahoma"/>
            <charset val="1"/>
          </rPr>
          <t xml:space="preserve"> Boxtal, Wessental, </t>
        </r>
        <r>
          <rPr>
            <b/>
            <sz val="9"/>
            <color indexed="81"/>
            <rFont val="Tahoma"/>
            <family val="2"/>
          </rPr>
          <t>Ebenheid (384)</t>
        </r>
        <r>
          <rPr>
            <sz val="9"/>
            <color indexed="81"/>
            <rFont val="Tahoma"/>
            <charset val="1"/>
          </rPr>
          <t xml:space="preserve">, Neunkirchen, Richelbach, Riedern, </t>
        </r>
        <r>
          <rPr>
            <u/>
            <sz val="9"/>
            <color indexed="81"/>
            <rFont val="Tahoma"/>
            <family val="2"/>
          </rPr>
          <t>Kaltenbachtal: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charset val="1"/>
          </rPr>
          <t xml:space="preserve">, Windischbuchen, Schippach, </t>
        </r>
        <r>
          <rPr>
            <b/>
            <sz val="9"/>
            <color indexed="81"/>
            <rFont val="Tahoma"/>
            <family val="2"/>
          </rPr>
          <t>Geisenhof (457)</t>
        </r>
        <r>
          <rPr>
            <sz val="9"/>
            <color indexed="81"/>
            <rFont val="Tahoma"/>
            <charset val="1"/>
          </rPr>
          <t xml:space="preserve">, Gottersdorf, </t>
        </r>
        <r>
          <rPr>
            <i/>
            <sz val="9"/>
            <color indexed="81"/>
            <rFont val="Tahoma"/>
            <family val="2"/>
          </rPr>
          <t>Rippberg (216)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Eiderbachtal:</t>
        </r>
        <r>
          <rPr>
            <sz val="9"/>
            <color indexed="81"/>
            <rFont val="Tahoma"/>
            <charset val="1"/>
          </rPr>
          <t xml:space="preserve"> Linkenmühle, </t>
        </r>
        <r>
          <rPr>
            <sz val="9"/>
            <color indexed="81"/>
            <rFont val="Tahoma"/>
            <family val="2"/>
          </rPr>
          <t xml:space="preserve">Hornbach, </t>
        </r>
        <r>
          <rPr>
            <b/>
            <sz val="9"/>
            <color indexed="81"/>
            <rFont val="Tahoma"/>
            <family val="2"/>
          </rPr>
          <t>Hochspeicher (425)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Klein-Hornbach (390)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Hambrunn (462)</t>
        </r>
        <r>
          <rPr>
            <sz val="9"/>
            <color indexed="81"/>
            <rFont val="Tahoma"/>
            <charset val="1"/>
          </rPr>
          <t xml:space="preserve">, Schneeberg, Amorbach, </t>
        </r>
        <r>
          <rPr>
            <i/>
            <sz val="9"/>
            <color indexed="81"/>
            <rFont val="Tahoma"/>
            <family val="2"/>
          </rPr>
          <t>Weilbach (140)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Ohrnbachtal:</t>
        </r>
        <r>
          <rPr>
            <sz val="9"/>
            <color indexed="81"/>
            <rFont val="Tahoma"/>
            <charset val="1"/>
          </rPr>
          <t xml:space="preserve"> Weckbach, Wiesenthal, Ohrnbach, Geyersmühle, </t>
        </r>
        <r>
          <rPr>
            <b/>
            <sz val="9"/>
            <color indexed="81"/>
            <rFont val="Tahoma"/>
            <family val="2"/>
          </rPr>
          <t>Vielbrunn (461)</t>
        </r>
        <r>
          <rPr>
            <sz val="9"/>
            <color indexed="81"/>
            <rFont val="Tahoma"/>
            <charset val="1"/>
          </rPr>
          <t xml:space="preserve">, Hainhaus, Bremhof,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 xml:space="preserve">, Kleinheubach.
</t>
        </r>
        <r>
          <rPr>
            <sz val="8"/>
            <color indexed="81"/>
            <rFont val="Tahoma"/>
            <family val="2"/>
          </rPr>
          <t>Samstag 9:50 - 16:00 (6:10 brutto - 20 min Pause) - wenig Verkehr bis 14:00 (Ohrnbachtal)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Geiersberg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family val="2"/>
          </rPr>
          <t xml:space="preserve">
298 Röllbach - Geiersberg
222 Boxtal - Ebenheid
203 Pfohlbach - Schippach
246 Rippberg - Hambrunn
201 Ohrnbach - Vielbrunn</t>
        </r>
      </text>
    </comment>
  </commentList>
</comments>
</file>

<file path=xl/comments9.xml><?xml version="1.0" encoding="utf-8"?>
<comments xmlns="http://schemas.openxmlformats.org/spreadsheetml/2006/main">
  <authors>
    <author>fan</author>
    <author>HP</author>
  </authors>
  <commentList>
    <comment ref="G1" authorId="0">
      <text>
        <r>
          <rPr>
            <sz val="9"/>
            <color indexed="81"/>
            <rFont val="Tahoma"/>
            <family val="2"/>
          </rPr>
          <t>Start Höhe immer 130 m (Normalstartpunkt)</t>
        </r>
      </text>
    </comment>
    <comment ref="A2" authorId="1">
      <text>
        <r>
          <rPr>
            <sz val="9"/>
            <color indexed="81"/>
            <rFont val="Tahoma"/>
            <family val="2"/>
          </rPr>
          <t>Weilbach, Russenpfad, B47 ab, Radweg heim</t>
        </r>
      </text>
    </comment>
    <comment ref="A3" authorId="1">
      <text>
        <r>
          <rPr>
            <sz val="9"/>
            <color indexed="81"/>
            <rFont val="Tahoma"/>
            <family val="2"/>
          </rPr>
          <t xml:space="preserve">Weilbach, Weckbach, Krebsrain (Weisser Punkt), Mainbullau, Nato ab
</t>
        </r>
      </text>
    </comment>
    <comment ref="A4" authorId="1">
      <text>
        <r>
          <rPr>
            <sz val="9"/>
            <color indexed="81"/>
            <rFont val="Tahoma"/>
            <family val="2"/>
          </rPr>
          <t>Rüdenau (ohne Orstberührung), Bullauer Weg, Blauer Punkt, Flugplatz, Straße ab</t>
        </r>
      </text>
    </comment>
    <comment ref="A5" authorId="1">
      <text>
        <r>
          <rPr>
            <sz val="9"/>
            <color indexed="81"/>
            <rFont val="Tahoma"/>
            <family val="2"/>
          </rPr>
          <t>Großheubach, Röllfeld, Herrnbrunngraben (Steinbruch), Reffelsberg, Röllbach, Radweg ab</t>
        </r>
      </text>
    </comment>
    <comment ref="A6" authorId="1">
      <text>
        <r>
          <rPr>
            <sz val="9"/>
            <color indexed="81"/>
            <rFont val="Tahoma"/>
            <family val="2"/>
          </rPr>
          <t>Kleinheubach (ohne Ortsberührung), Mil 4, Betonweg, Kleinheubacher Weg, Flugplatz, Nato ab</t>
        </r>
      </text>
    </comment>
  </commentList>
</comments>
</file>

<file path=xl/sharedStrings.xml><?xml version="1.0" encoding="utf-8"?>
<sst xmlns="http://schemas.openxmlformats.org/spreadsheetml/2006/main" count="2929" uniqueCount="956">
  <si>
    <t>Zeit</t>
  </si>
  <si>
    <t>max Höhe</t>
  </si>
  <si>
    <t>Hm</t>
  </si>
  <si>
    <t>Rad</t>
  </si>
  <si>
    <t>Anfahrt</t>
  </si>
  <si>
    <t>RR</t>
  </si>
  <si>
    <t>MTB</t>
  </si>
  <si>
    <t>Großer Feldberg (Oberursel)</t>
  </si>
  <si>
    <t>Katzenbuckel</t>
  </si>
  <si>
    <t>Geiersberg Breitsol</t>
  </si>
  <si>
    <t>Reisenbach</t>
  </si>
  <si>
    <t>Geißhöhe Wintersbach</t>
  </si>
  <si>
    <t>Geiersberg Mönchberg</t>
  </si>
  <si>
    <t>Emichshöhe</t>
  </si>
  <si>
    <t>Boxbrunn</t>
  </si>
  <si>
    <t>Wannenberg</t>
  </si>
  <si>
    <t>Mainbullau Flugplatz</t>
  </si>
  <si>
    <t>Geißbuckel</t>
  </si>
  <si>
    <t>Amorbach Kreisel</t>
  </si>
  <si>
    <t>bild</t>
  </si>
  <si>
    <t>page</t>
  </si>
  <si>
    <t>Springerquelle * 2</t>
  </si>
  <si>
    <t>Steigung</t>
  </si>
  <si>
    <t>Tour 1: Umrundung Cumbre Vieja</t>
  </si>
  <si>
    <t>min Höhe</t>
  </si>
  <si>
    <t>Tour 4: El Llano del Jable</t>
  </si>
  <si>
    <t>Tour 9: Auf der Cumbre Nueva*</t>
  </si>
  <si>
    <t>*Modifiziert</t>
  </si>
  <si>
    <t>Tour 10: Roque de los Muchachos*</t>
  </si>
  <si>
    <t>Nur El Pilar bis Reventón-Paß
und zurück</t>
  </si>
  <si>
    <t>Tour 11: Von Mirca zum Pico de la Nieve*</t>
  </si>
  <si>
    <t>Nur bis zum Parkplatz, einfach</t>
  </si>
  <si>
    <t>Tour 19: Mirador Los Brecitos*</t>
  </si>
  <si>
    <t>Start hinter Los Llanos, zurück
bis La Laguna</t>
  </si>
  <si>
    <t>ISBN 3-7633-5015-2 März 2003</t>
  </si>
  <si>
    <t>Link 1</t>
  </si>
  <si>
    <t>Link 2</t>
  </si>
  <si>
    <t>Ospis</t>
  </si>
  <si>
    <t>Weilbachkopf</t>
  </si>
  <si>
    <t>Taufstein (Niddatalsperre)</t>
  </si>
  <si>
    <t>Hoherodskopf (Eichelsdorf)</t>
  </si>
  <si>
    <t>Wasserkuppe (Altenfeld)</t>
  </si>
  <si>
    <t>Kreuzberg (Altenfeld)</t>
  </si>
  <si>
    <t>urkunde</t>
  </si>
  <si>
    <t>Reuenthal/Rüdenau</t>
  </si>
  <si>
    <t>Greinberg</t>
  </si>
  <si>
    <t>SB: Spätsommer-Highlight-Tour 2006</t>
  </si>
  <si>
    <t>Reichartshausen, Neudorf</t>
  </si>
  <si>
    <t>Zweibild</t>
  </si>
  <si>
    <t>SB: Ostertour 2007</t>
  </si>
  <si>
    <t>Altkönig (Oberursel)</t>
  </si>
  <si>
    <t>wiki</t>
  </si>
  <si>
    <t>Link 3</t>
  </si>
  <si>
    <t>Gönz</t>
  </si>
  <si>
    <t>Eulbach</t>
  </si>
  <si>
    <t>Normalstartpunkt</t>
  </si>
  <si>
    <t>Hettigenbeuern</t>
  </si>
  <si>
    <t>Alpentour Austria</t>
  </si>
  <si>
    <t>Wenschdorf Passhöhe</t>
  </si>
  <si>
    <t>Geyersmühle</t>
  </si>
  <si>
    <t>Bussigberg</t>
  </si>
  <si>
    <t>Hornisgrinde (Achern)</t>
  </si>
  <si>
    <t>Heidelstein (Gersfeld)</t>
  </si>
  <si>
    <t>cam</t>
  </si>
  <si>
    <t>Tannenschlag</t>
  </si>
  <si>
    <t>Fränkischer Odenwald</t>
  </si>
  <si>
    <t>La Palma</t>
  </si>
  <si>
    <t>Steiermark</t>
  </si>
  <si>
    <t>Gran Canaria</t>
  </si>
  <si>
    <t>Mauritius</t>
  </si>
  <si>
    <t>Gardasee</t>
  </si>
  <si>
    <t>Höschhecken</t>
  </si>
  <si>
    <t>Springerquelle * 3</t>
  </si>
  <si>
    <t>Mainbullau * 4</t>
  </si>
  <si>
    <t>Mainbullau * 3</t>
  </si>
  <si>
    <t>Mainbullau * 2</t>
  </si>
  <si>
    <t>Rüdenau * 4</t>
  </si>
  <si>
    <t>Rüdenau * 3</t>
  </si>
  <si>
    <t>Rüdenau * 2</t>
  </si>
  <si>
    <t>Spessarträuber 2007</t>
  </si>
  <si>
    <t>Eppertshausen 2007</t>
  </si>
  <si>
    <t>Henninger 2007</t>
  </si>
  <si>
    <t>Garmisch 2007</t>
  </si>
  <si>
    <t>Frammersbach 2007</t>
  </si>
  <si>
    <t>Frammersbach 2006</t>
  </si>
  <si>
    <t>Schotten 2007</t>
  </si>
  <si>
    <t>Vielbrunn-Runde</t>
  </si>
  <si>
    <t>Region</t>
  </si>
  <si>
    <t>Schwarzwald</t>
  </si>
  <si>
    <t>Rhön</t>
  </si>
  <si>
    <t>Taunus</t>
  </si>
  <si>
    <t>Vogelsberg</t>
  </si>
  <si>
    <t>Odenwald</t>
  </si>
  <si>
    <t>Spessart</t>
  </si>
  <si>
    <t>Januar</t>
  </si>
  <si>
    <t>Summe</t>
  </si>
  <si>
    <t>Gesamt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</si>
  <si>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</si>
  <si>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</si>
  <si>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</si>
  <si>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</si>
  <si>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</si>
  <si>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</si>
  <si>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</si>
  <si>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</si>
  <si>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</si>
  <si>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</si>
  <si>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</si>
  <si>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Steinkopf</t>
  </si>
  <si>
    <t>Höhe</t>
  </si>
  <si>
    <t>Weckbach</t>
  </si>
  <si>
    <t>Langenwang =&gt; Fischbach</t>
  </si>
  <si>
    <t>Fischbach =&gt; Aflenz</t>
  </si>
  <si>
    <t>Aflenz =&gt; Aflenz</t>
  </si>
  <si>
    <t>Aflenz =&gt; Mariazell</t>
  </si>
  <si>
    <t>Mariazell =&gt; Langenwang</t>
  </si>
  <si>
    <t>Maspalomas =&gt; Pico de las Nieves</t>
  </si>
  <si>
    <t>Flic en Flac =&gt; Plaine Champagne</t>
  </si>
  <si>
    <t>Riva del Garda =&gt; Passo Tremalzo</t>
  </si>
  <si>
    <t>Riva del Garda =&gt; Monte Altissimo</t>
  </si>
  <si>
    <t>Arenas Negras</t>
  </si>
  <si>
    <t>Jungvulkane</t>
  </si>
  <si>
    <t>Asphalt 1</t>
  </si>
  <si>
    <t>Asphalt 2</t>
  </si>
  <si>
    <t>Lorbeerwald</t>
  </si>
  <si>
    <t>Maspalomas =&gt; Mirador de Fataga</t>
  </si>
  <si>
    <t>Großostheim</t>
  </si>
  <si>
    <t>Inhalt</t>
  </si>
  <si>
    <t xml:space="preserve">Berechnung, wann die Sonne im Süden steht. </t>
  </si>
  <si>
    <t xml:space="preserve">Eingabe des Längengrades Ost: </t>
  </si>
  <si>
    <t>Grad (Eingabe)</t>
  </si>
  <si>
    <t>min  (Eingabe)</t>
  </si>
  <si>
    <t>sec  (Eingabe)</t>
  </si>
  <si>
    <t>Ergebnisse:</t>
  </si>
  <si>
    <t xml:space="preserve"> = Zeit, wann die Sonne im Süden steht in UT   (hh:mm:ss)</t>
  </si>
  <si>
    <t xml:space="preserve"> = Zeit, wann die Sonne im Süden steht in MEZ  (hh:mm:ss)</t>
  </si>
  <si>
    <t xml:space="preserve"> = Zeit, wann die Sonne im Süden steht in MESZ (hh:mm:ss)</t>
  </si>
  <si>
    <t xml:space="preserve"> = Zeitgleichung in min</t>
  </si>
  <si>
    <t xml:space="preserve"> = Längengrad als Dezimalzahl</t>
  </si>
  <si>
    <t>Berechnungen:</t>
  </si>
  <si>
    <t xml:space="preserve">                                 min:</t>
  </si>
  <si>
    <t>L/°</t>
  </si>
  <si>
    <t>L/0°...360°</t>
  </si>
  <si>
    <t>g/°</t>
  </si>
  <si>
    <t>g/0°...360°</t>
  </si>
  <si>
    <t>lambda/°</t>
  </si>
  <si>
    <t>Wurzel (t)</t>
  </si>
  <si>
    <t>alpha/°</t>
  </si>
  <si>
    <t>Tourdauer</t>
  </si>
  <si>
    <t>Startzeit</t>
  </si>
  <si>
    <t>Datum (Eingabe)</t>
  </si>
  <si>
    <t>Karlshöhe</t>
  </si>
  <si>
    <t>Max</t>
  </si>
  <si>
    <t>Kinzert</t>
  </si>
  <si>
    <t>Anzahl Touren</t>
  </si>
  <si>
    <t>Längste</t>
  </si>
  <si>
    <t>Höchste</t>
  </si>
  <si>
    <t>Rüdenau * 5</t>
  </si>
  <si>
    <t>Quartal</t>
  </si>
  <si>
    <t>Griesheim 2008</t>
  </si>
  <si>
    <t>Rhön Rundfahrt 2008</t>
  </si>
  <si>
    <t>Schöllesberg</t>
  </si>
  <si>
    <t>Neidhof</t>
  </si>
  <si>
    <t>Topmonat</t>
  </si>
  <si>
    <t>Neidhof Wald Kurz</t>
  </si>
  <si>
    <t>Kohlplatte</t>
  </si>
  <si>
    <t>Hunnenstein</t>
  </si>
  <si>
    <t>SB: Bergig April 2008</t>
  </si>
  <si>
    <t>SB: Einrollen Februar 2007</t>
  </si>
  <si>
    <t>SB: Einrollen Februar 2008</t>
  </si>
  <si>
    <t>Centgrafen 2008</t>
  </si>
  <si>
    <t>Hohe Warte (Krausenbach)</t>
  </si>
  <si>
    <t>SB: Sommertour 2008</t>
  </si>
  <si>
    <t>AB: Spessart Tour 7 "Eselsweg"</t>
  </si>
  <si>
    <t>AB: Hermannskoppe</t>
  </si>
  <si>
    <t>AB: Sulzbach</t>
  </si>
  <si>
    <t>AB: Miltenberg, Eselsweg, Freudenberg</t>
  </si>
  <si>
    <t>Scheuerbusch</t>
  </si>
  <si>
    <t>Buch</t>
  </si>
  <si>
    <t>Klotzenhof, Rosshof &amp; Bussigberg</t>
  </si>
  <si>
    <t>Alte Ruhe</t>
  </si>
  <si>
    <t>Geißhöhe Startpunkt</t>
  </si>
  <si>
    <t>Langer Stein Linie</t>
  </si>
  <si>
    <t>Neudorf Thingplatz</t>
  </si>
  <si>
    <t>Vielbrunn &amp; Mechenhard</t>
  </si>
  <si>
    <t>Wenschdorf, Neudorf, Vielbrunn</t>
  </si>
  <si>
    <t>Grüntentour (Rauhenzell)</t>
  </si>
  <si>
    <t>AB: Alzenau</t>
  </si>
  <si>
    <t>Bayrisch-Badische Grenzfahrt</t>
  </si>
  <si>
    <t>Geißhöhe &amp; Streit</t>
  </si>
  <si>
    <t>AB: Spessart Tour 8 "Geishöhe"</t>
  </si>
  <si>
    <t>Springerquelle * 4</t>
  </si>
  <si>
    <t>Geiersberg via Mainhölle, Eselsweg</t>
  </si>
  <si>
    <t>Kaltenbrunn 19%</t>
  </si>
  <si>
    <t>Flopmonat</t>
  </si>
  <si>
    <t>Würzberg</t>
  </si>
  <si>
    <t>Wannenberg, Kohlplatte &amp; Geißbuckel</t>
  </si>
  <si>
    <t>Jan</t>
  </si>
  <si>
    <t>Feb</t>
  </si>
  <si>
    <t>Apr</t>
  </si>
  <si>
    <t>Mär</t>
  </si>
  <si>
    <t>Jun</t>
  </si>
  <si>
    <t>Jul</t>
  </si>
  <si>
    <t>Aug</t>
  </si>
  <si>
    <t>Sep</t>
  </si>
  <si>
    <t>Okt</t>
  </si>
  <si>
    <t>Nov</t>
  </si>
  <si>
    <t>Dez</t>
  </si>
  <si>
    <t>R</t>
  </si>
  <si>
    <t>Sportabzeichen 2008</t>
  </si>
  <si>
    <t>Rad 2009</t>
  </si>
  <si>
    <t>Ø</t>
  </si>
  <si>
    <t>Odenwald-Spessart-König</t>
  </si>
  <si>
    <t>Landesgrenze</t>
  </si>
  <si>
    <t>Kastell Hainhaus, Limesturm</t>
  </si>
  <si>
    <t>Limespfeil</t>
  </si>
  <si>
    <t>EB: Gotthardsruine</t>
  </si>
  <si>
    <t>Monbrunner Höhenrunde</t>
  </si>
  <si>
    <t>Tour Ø</t>
  </si>
  <si>
    <t>Tag Ø</t>
  </si>
  <si>
    <t>Freudenberg</t>
  </si>
  <si>
    <t>max auf</t>
  </si>
  <si>
    <t>Aschaffenburg Hafen</t>
  </si>
  <si>
    <t>Aschaffenburg Leider</t>
  </si>
  <si>
    <t>Wörth alte B469</t>
  </si>
  <si>
    <t>Rang</t>
  </si>
  <si>
    <t>Teneriffa Jan 2008</t>
  </si>
  <si>
    <t>Teneriffa Dez 2008</t>
  </si>
  <si>
    <t>Pasaje Lunar</t>
  </si>
  <si>
    <t>Observatorio</t>
  </si>
  <si>
    <t>El Retamar</t>
  </si>
  <si>
    <t>Volcan Botija</t>
  </si>
  <si>
    <t>Steiermark Jul 2007</t>
  </si>
  <si>
    <t>Springerquelle * 1</t>
  </si>
  <si>
    <t>Mainbullau * 1</t>
  </si>
  <si>
    <t>Rüdenau * 1</t>
  </si>
  <si>
    <t>EB: Eichenbühl, Eselsweg, Freudenberg</t>
  </si>
  <si>
    <t>% Steigung Ø</t>
  </si>
  <si>
    <t>Stunde</t>
  </si>
  <si>
    <t>Entfernung</t>
  </si>
  <si>
    <t>Zeit(2)</t>
  </si>
  <si>
    <t>vjm/ant</t>
  </si>
  <si>
    <t>km/h</t>
  </si>
  <si>
    <t>km</t>
  </si>
  <si>
    <t>km/h(2)</t>
  </si>
  <si>
    <t>AB: Pannenkurs Keilberg</t>
  </si>
  <si>
    <t>Monbrunn auf &amp; ab</t>
  </si>
  <si>
    <t>Kirchberg</t>
  </si>
  <si>
    <t>Geisenhof</t>
  </si>
  <si>
    <t>N</t>
  </si>
  <si>
    <t>o</t>
  </si>
  <si>
    <t>t</t>
  </si>
  <si>
    <t>e</t>
  </si>
  <si>
    <t>Centgrafen Trophy</t>
  </si>
  <si>
    <t>AB: Pizzeria Erftal</t>
  </si>
  <si>
    <t>Mudau</t>
  </si>
  <si>
    <t>Waldleiningenrunde</t>
  </si>
  <si>
    <t>Autofreier Odenwald</t>
  </si>
  <si>
    <t>Kreisspitze (Fr.-Crumbach)</t>
  </si>
  <si>
    <t>Springerquelle * 5</t>
  </si>
  <si>
    <t>Wenigumstadt 2009</t>
  </si>
  <si>
    <t>Böhnerland</t>
  </si>
  <si>
    <t>Obernburg Mümling</t>
  </si>
  <si>
    <t>Centgrafen 2009</t>
  </si>
  <si>
    <t>Otterbach- und Weichtal</t>
  </si>
  <si>
    <t>Tremhof 40 km</t>
  </si>
  <si>
    <t>Tal1</t>
  </si>
  <si>
    <t>Berg1</t>
  </si>
  <si>
    <t>Tal2</t>
  </si>
  <si>
    <t>Berg2</t>
  </si>
  <si>
    <t>Tal3</t>
  </si>
  <si>
    <t>Berg3</t>
  </si>
  <si>
    <t>Tal4</t>
  </si>
  <si>
    <t>Berg4</t>
  </si>
  <si>
    <t>Tal5</t>
  </si>
  <si>
    <t>Berg5</t>
  </si>
  <si>
    <t>Tal6</t>
  </si>
  <si>
    <t>Berg6</t>
  </si>
  <si>
    <t>Tal7</t>
  </si>
  <si>
    <t>Berg7</t>
  </si>
  <si>
    <t>Höhenmeter</t>
  </si>
  <si>
    <t>Höhenmeterrechner</t>
  </si>
  <si>
    <t>m</t>
  </si>
  <si>
    <t>Spessarträuber 2009</t>
  </si>
  <si>
    <t>Jahr</t>
  </si>
  <si>
    <t>Art</t>
  </si>
  <si>
    <t>M</t>
  </si>
  <si>
    <t>RTF</t>
  </si>
  <si>
    <t>Race</t>
  </si>
  <si>
    <t>E</t>
  </si>
  <si>
    <t>Centgrafen Bayrisch</t>
  </si>
  <si>
    <t>Centgrafen Badisch</t>
  </si>
  <si>
    <t>Runden</t>
  </si>
  <si>
    <t>Churfranken Tri 2009</t>
  </si>
  <si>
    <t>Tri</t>
  </si>
  <si>
    <t>Mömlingen 50 km</t>
  </si>
  <si>
    <t>Monat</t>
  </si>
  <si>
    <t>Auf</t>
  </si>
  <si>
    <t>Unter</t>
  </si>
  <si>
    <t>MEZ</t>
  </si>
  <si>
    <t>MESZ</t>
  </si>
  <si>
    <t>Goldenes Kleeblatt</t>
  </si>
  <si>
    <t>Promilleweg-Auweg * 3</t>
  </si>
  <si>
    <t>Promilleweg-Auweg * 1</t>
  </si>
  <si>
    <t>Promilleweg-Auweg * 2</t>
  </si>
  <si>
    <t>Bischofsberg</t>
  </si>
  <si>
    <t>Königsstuhlblick</t>
  </si>
  <si>
    <t>Promilleweg-Auweg * 4</t>
  </si>
  <si>
    <t>Chefsache Odenwald</t>
  </si>
  <si>
    <t>Optimale Tageslichtausnutzung</t>
  </si>
  <si>
    <t>theo Höhe</t>
  </si>
  <si>
    <t>Entspricht</t>
  </si>
  <si>
    <t>Breitenbrunn Hessen</t>
  </si>
  <si>
    <t>Promilleweg-Auweg * 5</t>
  </si>
  <si>
    <t>Mainbullau * 6</t>
  </si>
  <si>
    <t>Promilleweg-Auweg * 6</t>
  </si>
  <si>
    <t>Großheubacher Weinberge</t>
  </si>
  <si>
    <t>Teneriffa Nov 2009</t>
  </si>
  <si>
    <t>Tenerife 3</t>
  </si>
  <si>
    <t>Tenerife 2</t>
  </si>
  <si>
    <t>Tenerife 1</t>
  </si>
  <si>
    <t>Cruz de Gala</t>
  </si>
  <si>
    <t>Esperanza</t>
  </si>
  <si>
    <t>Montana Chirigel</t>
  </si>
  <si>
    <t>Cañadas</t>
  </si>
  <si>
    <t>Mirador de Chio</t>
  </si>
  <si>
    <t>Anfahrt km</t>
  </si>
  <si>
    <t>Bayerischer Wald</t>
  </si>
  <si>
    <t>Min Höhe</t>
  </si>
  <si>
    <t>Harz</t>
  </si>
  <si>
    <t>Adelegg</t>
  </si>
  <si>
    <t>Schwäbische Alb</t>
  </si>
  <si>
    <t>Thüringer Wald</t>
  </si>
  <si>
    <t>Rad 2010</t>
  </si>
  <si>
    <t>Rad 2008</t>
  </si>
  <si>
    <t>Fichtelgebirge</t>
  </si>
  <si>
    <t>Info Breitengrad Nord:</t>
  </si>
  <si>
    <t>Grad</t>
  </si>
  <si>
    <t>min</t>
  </si>
  <si>
    <t>sec</t>
  </si>
  <si>
    <t>Rothaargebirge</t>
  </si>
  <si>
    <t>Frankenwald</t>
  </si>
  <si>
    <t>Belchen</t>
  </si>
  <si>
    <t>Schauinsland</t>
  </si>
  <si>
    <t>Hornisgrinde</t>
  </si>
  <si>
    <t>Feldberg</t>
  </si>
  <si>
    <t>Maspalomas =&gt; Barranco Fataga</t>
  </si>
  <si>
    <t>Q-Ø</t>
  </si>
  <si>
    <t>Mittel</t>
  </si>
  <si>
    <t>vj</t>
  </si>
  <si>
    <t>flop</t>
  </si>
  <si>
    <t>max</t>
  </si>
  <si>
    <t>sum</t>
  </si>
  <si>
    <t>Auswärts-Tour</t>
  </si>
  <si>
    <t>Pfälzer Wald</t>
  </si>
  <si>
    <t>Nordpfälzer Bergland</t>
  </si>
  <si>
    <t>Wasserkuppe</t>
  </si>
  <si>
    <t>Großer Feldberg</t>
  </si>
  <si>
    <t>Kreisspitze</t>
  </si>
  <si>
    <t>Hoherodskopf</t>
  </si>
  <si>
    <t>Vorspessart</t>
  </si>
  <si>
    <t>Sagenhafter Odenwald</t>
  </si>
  <si>
    <t>Dreiländergiro 22%</t>
  </si>
  <si>
    <t>Pfalz</t>
  </si>
  <si>
    <t>Geiersberg</t>
  </si>
  <si>
    <t>Rotbildland</t>
  </si>
  <si>
    <t>Rmax</t>
  </si>
  <si>
    <t>Springerquelle * 6</t>
  </si>
  <si>
    <t>Wiesenthaler Land</t>
  </si>
  <si>
    <t>Paradeismühle</t>
  </si>
  <si>
    <t>Neunkircher Höhe (Fr.-Crumbach)</t>
  </si>
  <si>
    <t>Bergwerk</t>
  </si>
  <si>
    <t>Sulzbach 2010</t>
  </si>
  <si>
    <t>CTF</t>
  </si>
  <si>
    <t>Heute</t>
  </si>
  <si>
    <t>Mittsommer</t>
  </si>
  <si>
    <t>Frühling-Herbst-Konverter</t>
  </si>
  <si>
    <t>Großer Wald</t>
  </si>
  <si>
    <t>Geiersberg via Röllfeld</t>
  </si>
  <si>
    <t>Silbernes Kleeblatt</t>
  </si>
  <si>
    <t>Tour/Jahr-km</t>
  </si>
  <si>
    <t>Tour/Jahr-Hm</t>
  </si>
  <si>
    <t>Hiscores</t>
  </si>
  <si>
    <t>Weilbach-Mil-Kleinheubach 20 km</t>
  </si>
  <si>
    <t>RR km</t>
  </si>
  <si>
    <t>MTB km</t>
  </si>
  <si>
    <t>RR Max</t>
  </si>
  <si>
    <t>RR Diff</t>
  </si>
  <si>
    <t>MTB Max</t>
  </si>
  <si>
    <t>MTB Diff</t>
  </si>
  <si>
    <t>Anfahrtzeit</t>
  </si>
  <si>
    <t>Paradeismühle &amp; Bussigberg</t>
  </si>
  <si>
    <t>Mainbullau Flugplatz ums Ort</t>
  </si>
  <si>
    <t>Schneeberg 20 km</t>
  </si>
  <si>
    <t>Bergwerk Galibier</t>
  </si>
  <si>
    <t>Spessart-Specht</t>
  </si>
  <si>
    <t>Dauer</t>
  </si>
  <si>
    <t>Mainbullau * 7</t>
  </si>
  <si>
    <t>FB</t>
  </si>
  <si>
    <t>Großer Wald Alpin</t>
  </si>
  <si>
    <t>La Palma Mar 2006</t>
  </si>
  <si>
    <t>Gran Canaria Mar 2004</t>
  </si>
  <si>
    <t>Bronzenes Kleeblatt</t>
  </si>
  <si>
    <t>Fränkischer Odenwald Light</t>
  </si>
  <si>
    <t>Sommer</t>
  </si>
  <si>
    <t>Winter</t>
  </si>
  <si>
    <t>Röllfeld 20 km</t>
  </si>
  <si>
    <t>Klotzenhof</t>
  </si>
  <si>
    <t>Fränkische Alb</t>
  </si>
  <si>
    <t>+km</t>
  </si>
  <si>
    <t>+Hm</t>
  </si>
  <si>
    <t>Hunsrück</t>
  </si>
  <si>
    <t>Passp.</t>
  </si>
  <si>
    <t>Diffp.</t>
  </si>
  <si>
    <t>Punkte</t>
  </si>
  <si>
    <t>Zeitp.</t>
  </si>
  <si>
    <t>Bild</t>
  </si>
  <si>
    <t>Stilfserjoch</t>
  </si>
  <si>
    <t>Ötztaler Gletscherstraße</t>
  </si>
  <si>
    <t>Alpen</t>
  </si>
  <si>
    <t>Brocken</t>
  </si>
  <si>
    <t>Zeitf.</t>
  </si>
  <si>
    <t>Tourp.</t>
  </si>
  <si>
    <t>Rad 2011</t>
  </si>
  <si>
    <t>Harzhochstraße</t>
  </si>
  <si>
    <t>Laudenbach-Bremhof * 1</t>
  </si>
  <si>
    <t>Laudenbach-Bremhof * 2</t>
  </si>
  <si>
    <t>Engelberg * 1</t>
  </si>
  <si>
    <t>Engelberg * 2</t>
  </si>
  <si>
    <t>Engelberg * 3</t>
  </si>
  <si>
    <t>Furkajoch</t>
  </si>
  <si>
    <t>Scheuerbusch Höllenritt</t>
  </si>
  <si>
    <t>Ruhe</t>
  </si>
  <si>
    <t>Spessartstar</t>
  </si>
  <si>
    <t>Promilleweg-Auweg * 7</t>
  </si>
  <si>
    <t>Geyersmühle &amp; Gönz</t>
  </si>
  <si>
    <t>Limespfeil Englisch</t>
  </si>
  <si>
    <t>EB: Berndiel-Schippach-Steige</t>
  </si>
  <si>
    <t>Gruppe</t>
  </si>
  <si>
    <t>AB</t>
  </si>
  <si>
    <t>SB</t>
  </si>
  <si>
    <t>EB</t>
  </si>
  <si>
    <t>Tauber-Tango</t>
  </si>
  <si>
    <t>LP 22 km 8 bis Gipfel, zurück
bis Parkplatz Pico de la Nieve</t>
  </si>
  <si>
    <t>kmh-Calc</t>
  </si>
  <si>
    <t>Markgrafenwald</t>
  </si>
  <si>
    <t>Laudenbach-Bremhof * 4</t>
  </si>
  <si>
    <t>Ünglert-Schrahof-Gabel</t>
  </si>
  <si>
    <t>AB: Spessarträuber</t>
  </si>
  <si>
    <t>Centgrafen 2011</t>
  </si>
  <si>
    <t>Sagenhafte Wallfahrt</t>
  </si>
  <si>
    <t>Spessart-Kamikaze</t>
  </si>
  <si>
    <t>Stilfser Joch Juni 2011</t>
  </si>
  <si>
    <t>Suldental</t>
  </si>
  <si>
    <t>Stilfser Joch</t>
  </si>
  <si>
    <t>Münstertal</t>
  </si>
  <si>
    <t>beschreibung</t>
  </si>
  <si>
    <t>Stelvio</t>
  </si>
  <si>
    <t>Walldürner Höhenrunde</t>
  </si>
  <si>
    <t>Vom Kaltenbach zum Marsbach</t>
  </si>
  <si>
    <t>Kaltenbach-Kamikaze</t>
  </si>
  <si>
    <t>Promilleweg-Auweg * 8</t>
  </si>
  <si>
    <t>Kohlplatte Straße Neu</t>
  </si>
  <si>
    <t>Kohlplatte Straße Alt</t>
  </si>
  <si>
    <t>Odenwälder Sensenmann</t>
  </si>
  <si>
    <t>Kohlwald Bullau</t>
  </si>
  <si>
    <t>Amorbach Schwimmbad</t>
  </si>
  <si>
    <t>Amorbach Radweg</t>
  </si>
  <si>
    <t>Höllgrund Klassiker</t>
  </si>
  <si>
    <t>Breitenbachtal</t>
  </si>
  <si>
    <t>Rühlesberg</t>
  </si>
  <si>
    <t>Aschaffenburg MR 80 km</t>
  </si>
  <si>
    <t>Sensbacher Staubwolke</t>
  </si>
  <si>
    <t>Kohlplatte Normalweg</t>
  </si>
  <si>
    <t>Big 5</t>
  </si>
  <si>
    <t>Big 3</t>
  </si>
  <si>
    <t>Niedernberg MR 60 km</t>
  </si>
  <si>
    <t>Großwallstadt MR 50 km</t>
  </si>
  <si>
    <t>Obernburg MR 40 km</t>
  </si>
  <si>
    <t>Wörth MR 30 km</t>
  </si>
  <si>
    <t>Rüdenau * 6</t>
  </si>
  <si>
    <t>Laudenbach Wellig</t>
  </si>
  <si>
    <t>Weil-Bdl-Klb</t>
  </si>
  <si>
    <t>Monat-km/Hm</t>
  </si>
  <si>
    <t>mo</t>
  </si>
  <si>
    <t>Mo. Max</t>
  </si>
  <si>
    <t>Rad 2012</t>
  </si>
  <si>
    <t>R%</t>
  </si>
  <si>
    <t>Wildcats Odenwald</t>
  </si>
  <si>
    <t>Spessart-Achterbahn</t>
  </si>
  <si>
    <t>Geißhöhe (Wintersbach)</t>
  </si>
  <si>
    <t>Wintersbach-Runde (Wintersbach)</t>
  </si>
  <si>
    <t>Geiersberg Breitsol (Krausenbach)</t>
  </si>
  <si>
    <t>Spessarthochstraße (Hasloch)</t>
  </si>
  <si>
    <t>Geißhöhe &amp; Geiersberg (Wintersbach)</t>
  </si>
  <si>
    <t>Vogelsberg MTB (Schotten)</t>
  </si>
  <si>
    <t>Hoherodskopf &amp; Taufstein (Niddatalsperre)</t>
  </si>
  <si>
    <t>Hochtaunus MTB (Oberursel)</t>
  </si>
  <si>
    <t>Hochtaunus RR (Oberursel)</t>
  </si>
  <si>
    <t>Hochtaunuskönig (Oberursel)</t>
  </si>
  <si>
    <t>Bielerhöhe</t>
  </si>
  <si>
    <t>Engelberg Weinberg/R-Weg</t>
  </si>
  <si>
    <t>Engelberg Straße/R-Weg</t>
  </si>
  <si>
    <t>Guggenberg Landesgrenze</t>
  </si>
  <si>
    <t>Brucker Hölzle (Kirchheim)</t>
  </si>
  <si>
    <t>AB: Spessarträuber II</t>
  </si>
  <si>
    <t>Bdl: Bullau-Anfahrt</t>
  </si>
  <si>
    <t>Bdl: Globus</t>
  </si>
  <si>
    <t>Apfelstraße</t>
  </si>
  <si>
    <t>Hundecanyon</t>
  </si>
  <si>
    <t>Pferdecanyon</t>
  </si>
  <si>
    <t>Apfeleinstieg</t>
  </si>
  <si>
    <t>Temporäre Berechnungen</t>
  </si>
  <si>
    <t>Nibelungenstraße</t>
  </si>
  <si>
    <t>Hölle des Nord-Odenwalds</t>
  </si>
  <si>
    <t>Spechtshaardt</t>
  </si>
  <si>
    <t>Bull-Riding Bullau</t>
  </si>
  <si>
    <t>Troposphäre</t>
  </si>
  <si>
    <t>Stratosphäre</t>
  </si>
  <si>
    <t>Mesosphäre</t>
  </si>
  <si>
    <t>Thermosphäre</t>
  </si>
  <si>
    <t>Exosphäre</t>
  </si>
  <si>
    <t>Interplanetarer Raum</t>
  </si>
  <si>
    <t>Erdumrundungen</t>
  </si>
  <si>
    <t>BB: Kaltenbachtal</t>
  </si>
  <si>
    <t>BB</t>
  </si>
  <si>
    <t>AB: Turmschenke</t>
  </si>
  <si>
    <t>AB: Spessartthaler</t>
  </si>
  <si>
    <t>BB: Stuttgart</t>
  </si>
  <si>
    <t>Bandholz Hornbach</t>
  </si>
  <si>
    <t>Paradeismühle MTB</t>
  </si>
  <si>
    <t>Paradeismühle Straße</t>
  </si>
  <si>
    <t>Monbrunn total</t>
  </si>
  <si>
    <t>Hagheumahden</t>
  </si>
  <si>
    <t>Ø-Steigung</t>
  </si>
  <si>
    <t>Reisenberg</t>
  </si>
  <si>
    <t>Churfranken Tri Training (Niedernberg)</t>
  </si>
  <si>
    <t>HC</t>
  </si>
  <si>
    <t>Steigung/Kategorie</t>
  </si>
  <si>
    <t>Kettler Speed Grand Total seit 2009</t>
  </si>
  <si>
    <t>Schütz-Win-Rü</t>
  </si>
  <si>
    <t>Nato * 4</t>
  </si>
  <si>
    <t>Nato * 3</t>
  </si>
  <si>
    <t>Nato * 2</t>
  </si>
  <si>
    <t>Nato * 1</t>
  </si>
  <si>
    <t>AB: Bayrische Schanz</t>
  </si>
  <si>
    <t>Mischwald-Brevet</t>
  </si>
  <si>
    <t>Wiesenthaler Runde</t>
  </si>
  <si>
    <t>Brandschneise</t>
  </si>
  <si>
    <t>Kolpi</t>
  </si>
  <si>
    <t>Amor&amp;Reue</t>
  </si>
  <si>
    <t>Otterbach Asphalt-Max</t>
  </si>
  <si>
    <t>Kohlgrund Asphalt-Max</t>
  </si>
  <si>
    <t>Weichtal-Transversale</t>
  </si>
  <si>
    <t>Brückenauf-Umweg</t>
  </si>
  <si>
    <t>Klingenbg. Schlucht</t>
  </si>
  <si>
    <t>Zwei Türme Neu</t>
  </si>
  <si>
    <t>Weilbach 2. Garage</t>
  </si>
  <si>
    <t>Lattberg-Lauser</t>
  </si>
  <si>
    <t>Zwei Türme Alt</t>
  </si>
  <si>
    <t>Langenberg-Lenker</t>
  </si>
  <si>
    <t>Rü-Wald-Esche</t>
  </si>
  <si>
    <t>Rü-Wald-Rotbild</t>
  </si>
  <si>
    <t>Bruch-Einstieg</t>
  </si>
  <si>
    <t>Rad 2013</t>
  </si>
  <si>
    <t>Ungefähre Tageslänge Normalstartpunkt</t>
  </si>
  <si>
    <t>Walldürn Bahnübergang</t>
  </si>
  <si>
    <t>Teneriffa Januar 2013</t>
  </si>
  <si>
    <t>Hernan Perez</t>
  </si>
  <si>
    <t>Teno</t>
  </si>
  <si>
    <t>Orotava alta</t>
  </si>
  <si>
    <t>Pasaje Vilaflor</t>
  </si>
  <si>
    <t>Montana Cascajo</t>
  </si>
  <si>
    <t>Izana</t>
  </si>
  <si>
    <t>Montana Cedro</t>
  </si>
  <si>
    <t>El Gaitero</t>
  </si>
  <si>
    <t>Tenerife 4</t>
  </si>
  <si>
    <t>Riedbergpass</t>
  </si>
  <si>
    <t>Apfelpanorama</t>
  </si>
  <si>
    <t>&gt; 10000 km</t>
  </si>
  <si>
    <t>mal</t>
  </si>
  <si>
    <t>Durchfahrten:</t>
  </si>
  <si>
    <t>Deutschland Nord-Süd-Ausdehnung:</t>
  </si>
  <si>
    <t>Weichtal-Runde</t>
  </si>
  <si>
    <t>Wörth MR 25 km</t>
  </si>
  <si>
    <t>Trennfurt MR 20 km</t>
  </si>
  <si>
    <t>Klingenberger Schlucht</t>
  </si>
  <si>
    <t>Himmelfahrtskommando ODW</t>
  </si>
  <si>
    <t>Zeitaddierer</t>
  </si>
  <si>
    <t>Odenwald-Triple</t>
  </si>
  <si>
    <t>Centgrafen 2013</t>
  </si>
  <si>
    <t>Kinzertweg</t>
  </si>
  <si>
    <t>Schneekopf-Sender (Zella-Mehlis)</t>
  </si>
  <si>
    <t>Jungfernfahrt Rauhenberg</t>
  </si>
  <si>
    <t>Hm/Tour</t>
  </si>
  <si>
    <t>Hm/Urlaub</t>
  </si>
  <si>
    <t>km/Urlaub</t>
  </si>
  <si>
    <t>Spessartkreis</t>
  </si>
  <si>
    <t>Odenwaldkreis</t>
  </si>
  <si>
    <t>Rotbild-Nato</t>
  </si>
  <si>
    <t>Schwand</t>
  </si>
  <si>
    <t>Mainbullau * 8</t>
  </si>
  <si>
    <t>Landelgraben</t>
  </si>
  <si>
    <t>Promilleweg-Auweg * 10</t>
  </si>
  <si>
    <t>Streak+</t>
  </si>
  <si>
    <t>Streak-</t>
  </si>
  <si>
    <t>S+</t>
  </si>
  <si>
    <t>S-</t>
  </si>
  <si>
    <t>km-Mittler</t>
  </si>
  <si>
    <t>Hm-Mittler</t>
  </si>
  <si>
    <t>Mainblick</t>
  </si>
  <si>
    <t>Mainblickeinstieg</t>
  </si>
  <si>
    <t>Rü-Winnestraße</t>
  </si>
  <si>
    <t>Rü-Langenäcker</t>
  </si>
  <si>
    <t>Steig</t>
  </si>
  <si>
    <t>Reuenthal-Einstieg</t>
  </si>
  <si>
    <t>Bauland</t>
  </si>
  <si>
    <t>Schloßau Hochbehälter</t>
  </si>
  <si>
    <t>Geißhöhe</t>
  </si>
  <si>
    <t>Alter-F-Einstieg</t>
  </si>
  <si>
    <t>Baukasten &gt;= 3 km</t>
  </si>
  <si>
    <t>Laurentius-Einstieg</t>
  </si>
  <si>
    <t>Mil 1 revers</t>
  </si>
  <si>
    <t>Kohlplatte via Reuenthal</t>
  </si>
  <si>
    <t>Kohlplatte via MIL 1</t>
  </si>
  <si>
    <t>Walldürn erste Kreuzung</t>
  </si>
  <si>
    <t>Springerquelle-Runde</t>
  </si>
  <si>
    <t>Rü-Felsenkeller</t>
  </si>
  <si>
    <t>Rü-WinneBisSteil</t>
  </si>
  <si>
    <t>Rü-Kap-Weg</t>
  </si>
  <si>
    <t>Rü-Ostern-Esche</t>
  </si>
  <si>
    <t>Klinik</t>
  </si>
  <si>
    <t>Kolpi-Runden</t>
  </si>
  <si>
    <t>Apfelstr</t>
  </si>
  <si>
    <t>Kolpi-Neu</t>
  </si>
  <si>
    <t>B469</t>
  </si>
  <si>
    <t>Wörth/Erlenbach MR</t>
  </si>
  <si>
    <t>Trennfurt/Klingenberg MR</t>
  </si>
  <si>
    <t>Apfelschaukel</t>
  </si>
  <si>
    <t>Engelberg Schafgasse</t>
  </si>
  <si>
    <t>Engel-Klotz-Verläng.</t>
  </si>
  <si>
    <t>Suba-Sackgasse</t>
  </si>
  <si>
    <t>WB</t>
  </si>
  <si>
    <t>WB: Lauseiche</t>
  </si>
  <si>
    <t>Scheuerbusch Höllencross</t>
  </si>
  <si>
    <t>CR</t>
  </si>
  <si>
    <t>MEZ von-bis</t>
  </si>
  <si>
    <t>Rad 2014</t>
  </si>
  <si>
    <t>Ohrenbach-Rauschen</t>
  </si>
  <si>
    <t>Arnsberg</t>
  </si>
  <si>
    <t>Bussig-Heunencross</t>
  </si>
  <si>
    <t>KolpiHoch</t>
  </si>
  <si>
    <t>LasLauBisMil4</t>
  </si>
  <si>
    <t>Gotthardsruine</t>
  </si>
  <si>
    <t>Brediel</t>
  </si>
  <si>
    <t>Gönz-Max</t>
  </si>
  <si>
    <t>Eisenbach 40 km</t>
  </si>
  <si>
    <t>Ginstercross</t>
  </si>
  <si>
    <t>Laurentius-Länge</t>
  </si>
  <si>
    <t>Landesgrenze MTB</t>
  </si>
  <si>
    <t>Bussig Kreuzung-Teer</t>
  </si>
  <si>
    <t>Dreiwälder</t>
  </si>
  <si>
    <t>Bussig-Heunenparadies</t>
  </si>
  <si>
    <t>Klingen-Paradies</t>
  </si>
  <si>
    <t>Erste Bank Ünglert</t>
  </si>
  <si>
    <t>Kohlpl-Wasserh</t>
  </si>
  <si>
    <t>Bdl: Ausweichweg</t>
  </si>
  <si>
    <t>Rü: Sichere Wende</t>
  </si>
  <si>
    <t>AB: Hahnenkamm</t>
  </si>
  <si>
    <t>Kaltenbach-Cross</t>
  </si>
  <si>
    <t>C:\Users\fan\Pictures\Fotos\Rad\</t>
  </si>
  <si>
    <t>Bilder Basisverzeichnis</t>
  </si>
  <si>
    <t>Klingenberg-Runde</t>
  </si>
  <si>
    <t>Klingenb-Runde-Ein</t>
  </si>
  <si>
    <t>Heunesäulen</t>
  </si>
  <si>
    <t>Mainhölle-Cross</t>
  </si>
  <si>
    <t>Badischer Dreizack</t>
  </si>
  <si>
    <t>Ospis via Mainhölle</t>
  </si>
  <si>
    <t>Reffelsberg</t>
  </si>
  <si>
    <t>Promilleweg-Auweg</t>
  </si>
  <si>
    <t>Bauland Extrem</t>
  </si>
  <si>
    <t>Geißbuckel+</t>
  </si>
  <si>
    <t>Nato-Kreuzg-Kopf+</t>
  </si>
  <si>
    <t>Kohl-Greinberg+</t>
  </si>
  <si>
    <t>Laurentius-Lang+</t>
  </si>
  <si>
    <t>Rotbild-Rauschen+</t>
  </si>
  <si>
    <t>Nato-Rotbild+</t>
  </si>
  <si>
    <t>Hohwald</t>
  </si>
  <si>
    <t>Geiersberg Radweg-Runde</t>
  </si>
  <si>
    <t>Kreuzeiche - Lauseiche</t>
  </si>
  <si>
    <t>Odenwaldkreis rechtsrum</t>
  </si>
  <si>
    <t>Odenwaldkreis linksrum</t>
  </si>
  <si>
    <t>Spessartkreis HC</t>
  </si>
  <si>
    <t>B496</t>
  </si>
  <si>
    <t>Alter</t>
  </si>
  <si>
    <t>Friedhof</t>
  </si>
  <si>
    <t>Mühl</t>
  </si>
  <si>
    <t>Rainweg</t>
  </si>
  <si>
    <t>Hoch</t>
  </si>
  <si>
    <t>Heune</t>
  </si>
  <si>
    <t>Bahn</t>
  </si>
  <si>
    <t>Warte</t>
  </si>
  <si>
    <t>Straße</t>
  </si>
  <si>
    <t>Lindig</t>
  </si>
  <si>
    <t>A1</t>
  </si>
  <si>
    <t>Anzahl</t>
  </si>
  <si>
    <t>N-Weg</t>
  </si>
  <si>
    <t>Laudenbach</t>
  </si>
  <si>
    <t>Reuenthal-Runden</t>
  </si>
  <si>
    <t>NSG-Trail</t>
  </si>
  <si>
    <t>Ironhill Finale</t>
  </si>
  <si>
    <t>B496R-max</t>
  </si>
  <si>
    <t>B496R-Kurzeinstieg</t>
  </si>
  <si>
    <t>Stürzenhardt</t>
  </si>
  <si>
    <t>Houl &amp; Heune</t>
  </si>
  <si>
    <t>Echterspfahl - Engelsberg</t>
  </si>
  <si>
    <t>WB: Echterspfahl</t>
  </si>
  <si>
    <t>Weck</t>
  </si>
  <si>
    <t>bach</t>
  </si>
  <si>
    <t>Addierer</t>
  </si>
  <si>
    <t>Nato</t>
  </si>
  <si>
    <t>Einstieg</t>
  </si>
  <si>
    <t>Eschenweg</t>
  </si>
  <si>
    <t>Kreuzung</t>
  </si>
  <si>
    <t>Unterer Steinmauerweg</t>
  </si>
  <si>
    <t>Bürgstadt RaiRing</t>
  </si>
  <si>
    <t>BB: MIL 1</t>
  </si>
  <si>
    <t>Ohrenbach-Tosen</t>
  </si>
  <si>
    <t>Weilbach-Warte</t>
  </si>
  <si>
    <t>Baukasten &gt;= 0,6 km</t>
  </si>
  <si>
    <t>Baukasten &lt; 0,6 km</t>
  </si>
  <si>
    <t>Gut</t>
  </si>
  <si>
    <t>Nato-Hochheune</t>
  </si>
  <si>
    <t>Mümlingrunde</t>
  </si>
  <si>
    <t>Landelgraben II</t>
  </si>
  <si>
    <t>BB: Landelgraben II</t>
  </si>
  <si>
    <t>HölleHölleHölle</t>
  </si>
  <si>
    <t>Mühlrainweg</t>
  </si>
  <si>
    <t>Dreiländercross</t>
  </si>
  <si>
    <t>Rü-WinneBisLandel</t>
  </si>
  <si>
    <t>Dorfprozelten MR 50 km</t>
  </si>
  <si>
    <t>Kreuzwertheim</t>
  </si>
  <si>
    <t>Nato-Wald+</t>
  </si>
  <si>
    <t>Hochrauschen∞</t>
  </si>
  <si>
    <t>Weinberg</t>
  </si>
  <si>
    <t>Rad 2015</t>
  </si>
  <si>
    <t>Differenz zu Hiscore</t>
  </si>
  <si>
    <t>Längster Streak</t>
  </si>
  <si>
    <t>Tage</t>
  </si>
  <si>
    <t>Monate</t>
  </si>
  <si>
    <t>Mittlerer Mondmonat</t>
  </si>
  <si>
    <t>Konstante</t>
  </si>
  <si>
    <t>d</t>
  </si>
  <si>
    <t>Längste Pause</t>
  </si>
  <si>
    <t>Hi-Monatsmittel</t>
  </si>
  <si>
    <t>Teneriffa Januar 2015</t>
  </si>
  <si>
    <t>Jungvulkane retour</t>
  </si>
  <si>
    <t>Montana Chirigel Runde</t>
  </si>
  <si>
    <t>El Medano (Asphalt)</t>
  </si>
  <si>
    <t>Cumbre Zick-Zack</t>
  </si>
  <si>
    <t>Aktuell</t>
  </si>
  <si>
    <t>Laud-Schlaufe kurz</t>
  </si>
  <si>
    <t>Laudenbachschlaufe</t>
  </si>
  <si>
    <t>Ø Tour km/Hm</t>
  </si>
  <si>
    <t>Entwicklung</t>
  </si>
  <si>
    <t>Echterspfahl</t>
  </si>
  <si>
    <t>Außerhalb Lützel-Wiebelsbach</t>
  </si>
  <si>
    <t>Breuberg+</t>
  </si>
  <si>
    <t>Ironhill Prolog</t>
  </si>
  <si>
    <t>Schloßau Hohe Straße</t>
  </si>
  <si>
    <t>Apfelschlaufe</t>
  </si>
  <si>
    <t>Geishöhe Neu</t>
  </si>
  <si>
    <t>Erlenbach 30 km</t>
  </si>
  <si>
    <t>Schloßau-Express</t>
  </si>
  <si>
    <t>Buchen</t>
  </si>
  <si>
    <t>Bdl-Heim-Apfel+</t>
  </si>
  <si>
    <t>Hangman</t>
  </si>
  <si>
    <t>Bussig-Eichenrain</t>
  </si>
  <si>
    <t>Bussig-Treppentrail</t>
  </si>
  <si>
    <t>Paradeismühle Röllbach</t>
  </si>
  <si>
    <t>Eichel Staustufe</t>
  </si>
  <si>
    <t>Gotthard-Reuenthal</t>
  </si>
  <si>
    <t>SQ-Flug-Nato</t>
  </si>
  <si>
    <t>SQ-Saustall+</t>
  </si>
  <si>
    <t>Rippberg</t>
  </si>
  <si>
    <t>Hochr. km</t>
  </si>
  <si>
    <t>Hochr. Zeit</t>
  </si>
  <si>
    <t>Spessartstar FB</t>
  </si>
  <si>
    <t>Finatec∞</t>
  </si>
  <si>
    <t>Geyersmühle-WW1+</t>
  </si>
  <si>
    <t>TBB Autofreier Sonntag</t>
  </si>
  <si>
    <t>Schranke-Zu-&gt;Bredil</t>
  </si>
  <si>
    <t>Laud-Wellig-Heune+</t>
  </si>
  <si>
    <t>Weilb.Marktpl.Umweg</t>
  </si>
  <si>
    <t>Abkürzungen</t>
  </si>
  <si>
    <t>Ohrnbach-Pass</t>
  </si>
  <si>
    <t>GH-MrVoll-Steigeweg</t>
  </si>
  <si>
    <t>Bdl-Heim-Wiesenpfad+</t>
  </si>
  <si>
    <t>Rotbildrauschen∞</t>
  </si>
  <si>
    <t>Badisch-Hessischer Vierzack</t>
  </si>
  <si>
    <t>Eichenbühl durch MIL</t>
  </si>
  <si>
    <t>Mühlenradweg</t>
  </si>
  <si>
    <t>Auenbiotop-Einstieg</t>
  </si>
  <si>
    <t>Auen</t>
  </si>
  <si>
    <t>biotop</t>
  </si>
  <si>
    <t>Rüdenau Grün</t>
  </si>
  <si>
    <t>Weichtal vernünftig</t>
  </si>
  <si>
    <t>Gotthardsweg</t>
  </si>
  <si>
    <t>Paradeismühle Roßhof</t>
  </si>
  <si>
    <t>Rü: Brückenlänge</t>
  </si>
  <si>
    <t>Rü: Bettler-Verl. Str.</t>
  </si>
  <si>
    <t>Rü: Bettler-Verl. Weg</t>
  </si>
  <si>
    <t>Landelgraben III</t>
  </si>
  <si>
    <t>Hobby-Runde</t>
  </si>
  <si>
    <t>Rad 2016</t>
  </si>
  <si>
    <t>Nord-Kurz</t>
  </si>
  <si>
    <t>Promilleweg-Steinbruch</t>
  </si>
  <si>
    <t>Umweg</t>
  </si>
  <si>
    <t>Baukasten &gt;= 11 km</t>
  </si>
  <si>
    <t>Kirschfurt St. Michael</t>
  </si>
  <si>
    <t>Adlerwarthe</t>
  </si>
  <si>
    <t>Bettingen</t>
  </si>
  <si>
    <t>Ginsterlän</t>
  </si>
  <si>
    <t>Jahresmittel</t>
  </si>
  <si>
    <t>Korrektor</t>
  </si>
  <si>
    <t>Wannenberg häuserfrei</t>
  </si>
  <si>
    <t>Iron Hill Suicide</t>
  </si>
  <si>
    <t>Iron Hill Wild</t>
  </si>
  <si>
    <t>Badischer Dreizack II</t>
  </si>
  <si>
    <t>Weilbach-Süd</t>
  </si>
  <si>
    <t>Mainuferweg-VS</t>
  </si>
  <si>
    <t>Dicke Hecken</t>
  </si>
  <si>
    <t>Spessartkreis FB</t>
  </si>
  <si>
    <t>Limespfeil Wild</t>
  </si>
  <si>
    <t>Nasses Feld</t>
  </si>
  <si>
    <t>Donebach-Runde</t>
  </si>
  <si>
    <t>Promilleweg-Steinbruch-Kreuzung</t>
  </si>
  <si>
    <t>Bauland "Wild"</t>
  </si>
  <si>
    <t>2 Runden und 1 Apfel</t>
  </si>
  <si>
    <t>Homburg</t>
  </si>
  <si>
    <t>Bussig Weinberg-Tor+</t>
  </si>
  <si>
    <t>Bussig Trail-Gipfel+</t>
  </si>
  <si>
    <t>Turm-Felsenkeller+</t>
  </si>
  <si>
    <t>Weichtal-Stutz+</t>
  </si>
  <si>
    <t>Rad 2017</t>
  </si>
  <si>
    <t>Starthöhe</t>
  </si>
  <si>
    <t>Endhöhe</t>
  </si>
  <si>
    <t>Steigungsrechner</t>
  </si>
  <si>
    <t>Schneeberg-Schaukel</t>
  </si>
  <si>
    <t>Laud.Wellig.Mainblick+</t>
  </si>
  <si>
    <t>Iron Hill Wild Nato</t>
  </si>
  <si>
    <t>SH-Revers II</t>
  </si>
  <si>
    <t>Hartungstrail I</t>
  </si>
  <si>
    <t>Hartungstrail II</t>
  </si>
  <si>
    <t>Hartung</t>
  </si>
  <si>
    <t>Geiersberg MR</t>
  </si>
  <si>
    <t>Schneeberg Straße</t>
  </si>
  <si>
    <t>Nato * 5</t>
  </si>
  <si>
    <t>Alpen 2017</t>
  </si>
  <si>
    <t>Riedbergpass + Rohrmoossattel</t>
  </si>
  <si>
    <t>Zwei Hausrunden</t>
  </si>
  <si>
    <t>Stillachtal &amp; Kapelle &amp; Test Riedberg</t>
  </si>
  <si>
    <t>Oberjochpass + Vilsalpsee</t>
  </si>
  <si>
    <t>Tiefenbachferner</t>
  </si>
  <si>
    <t>Tauferberg</t>
  </si>
  <si>
    <t>Timmelsjoch</t>
  </si>
  <si>
    <t>Rofenstraße</t>
  </si>
  <si>
    <t>Hiscore</t>
  </si>
  <si>
    <t>RR 50</t>
  </si>
  <si>
    <t>Windischbuchen-Höheschlag</t>
  </si>
  <si>
    <t xml:space="preserve">Reuenthal * 8 </t>
  </si>
  <si>
    <t>Park</t>
  </si>
  <si>
    <t>Bussig Weinberg Max</t>
  </si>
  <si>
    <t>Unten hin + zurück</t>
  </si>
  <si>
    <t>Oben hin + zurück</t>
  </si>
  <si>
    <t>∞Bdl-Neu</t>
  </si>
  <si>
    <t>+Bauland-Waldürn</t>
  </si>
  <si>
    <t>+Rü: Via Steiner</t>
  </si>
  <si>
    <t>+Lau-wellig-Rü</t>
  </si>
  <si>
    <t>+Nato-Flugplatz</t>
  </si>
  <si>
    <t>+Bdl-Heim-Tierasyl</t>
  </si>
  <si>
    <t>∞Ober-Brünnle</t>
  </si>
  <si>
    <t>∞Springerquelle</t>
  </si>
  <si>
    <t>+Weilbach-Reuenthal</t>
  </si>
  <si>
    <t>∞Hochohrnbach</t>
  </si>
  <si>
    <t>+Paradeis-Rosshofweg</t>
  </si>
  <si>
    <t>+Weilb.Bahn-Reuenthal</t>
  </si>
  <si>
    <t>+Ohrnbach-Gönz</t>
  </si>
  <si>
    <t>∞Ohrnbachtal</t>
  </si>
  <si>
    <t>∞Nato-Bullau</t>
  </si>
  <si>
    <t>+Amorbach-Neudorf</t>
  </si>
  <si>
    <t>+NatoUnten-Esche</t>
  </si>
  <si>
    <t>+NatoUnten-Ort</t>
  </si>
  <si>
    <t>+Rü-ab-AE</t>
  </si>
  <si>
    <t>∞Kreisel-Schranke</t>
  </si>
  <si>
    <t>Rad 2018</t>
  </si>
  <si>
    <t>Dreiwälder: Spessart only</t>
  </si>
  <si>
    <t>Rosshofweg Plantage</t>
  </si>
  <si>
    <t>Iron Hill</t>
  </si>
  <si>
    <t>Hasloch</t>
  </si>
  <si>
    <t>Brücke GH, Wendeplatz</t>
  </si>
  <si>
    <t>Brücke GH∞</t>
  </si>
  <si>
    <t>Springerquelle</t>
  </si>
  <si>
    <t>Walldürner Höhenrunde II</t>
  </si>
  <si>
    <t>+Hazienda Mainbullau</t>
  </si>
  <si>
    <t>+Schulzebauer</t>
  </si>
  <si>
    <t>+Klh-Altort</t>
  </si>
  <si>
    <t>+ATÜ</t>
  </si>
  <si>
    <t>+Natogipfel</t>
  </si>
  <si>
    <t>+MR-P-Platz-20</t>
  </si>
  <si>
    <t>+GH 360°</t>
  </si>
  <si>
    <t>∞Weilbachkopf</t>
  </si>
  <si>
    <t>Mischwald-Brevet 1/2</t>
  </si>
  <si>
    <t>Mainhölle Cross Max</t>
  </si>
  <si>
    <t>Rohrmoossattel</t>
  </si>
  <si>
    <t>Alpen 2018</t>
  </si>
  <si>
    <t>Zillergrund</t>
  </si>
  <si>
    <t>Fügen (Radweg Zillerpromenade)</t>
  </si>
  <si>
    <t>Radweg &amp; Landstraße</t>
  </si>
  <si>
    <t>Zillertaler Höhenstraße</t>
  </si>
  <si>
    <t>Hausrunde Allgäu * 4</t>
  </si>
  <si>
    <t>Sibratsgfäll (Kirche)</t>
  </si>
  <si>
    <t>Hausrunde + Hausrunde</t>
  </si>
  <si>
    <t>Lost Limes</t>
  </si>
  <si>
    <t>Mainuferweg-Runde</t>
  </si>
  <si>
    <t>Feuerwache &amp; Heune</t>
  </si>
  <si>
    <t>Zeitdiff</t>
  </si>
  <si>
    <t>Spessartstar Royal</t>
  </si>
  <si>
    <t>AM 1</t>
  </si>
  <si>
    <t>Heidebuckel</t>
  </si>
  <si>
    <t>Kailbachrunde</t>
  </si>
  <si>
    <t>10-Jahres-Statistik 2008-2018</t>
  </si>
  <si>
    <t>Kettler-t/Jahr-km</t>
  </si>
  <si>
    <t>Alpen 2019</t>
  </si>
  <si>
    <t>Stoderzinken Alpenstraße</t>
  </si>
  <si>
    <t>Sölkpass</t>
  </si>
  <si>
    <t>Dachsteinstraße</t>
  </si>
  <si>
    <t>Altstädter Hof</t>
  </si>
  <si>
    <t>Wasserscheide bis Österreich</t>
  </si>
  <si>
    <t>Wertheim Autofreier Sonntag</t>
  </si>
  <si>
    <t>Odenwaldmainkreis</t>
  </si>
  <si>
    <t>Limeskreis</t>
  </si>
  <si>
    <t>Russenpfad X</t>
  </si>
  <si>
    <t>Herrnbrunngraben X</t>
  </si>
  <si>
    <t>km X</t>
  </si>
  <si>
    <t>Marktheidenfeld</t>
  </si>
  <si>
    <t>Rüdenauer Weg X</t>
  </si>
  <si>
    <t>Weckbacher Weg X</t>
  </si>
  <si>
    <t>Kleinheubacher Weg X</t>
  </si>
  <si>
    <t>Eisenbach EI1</t>
  </si>
  <si>
    <t>Durch die Täler des Odenwalds (4)</t>
  </si>
  <si>
    <t>Durch die Täler des Odenwalds (5)</t>
  </si>
  <si>
    <t>Kohlplatte kürzester Weg (hist)</t>
  </si>
  <si>
    <t>10-Year Grand Total</t>
  </si>
  <si>
    <t>Warnung ab:</t>
  </si>
  <si>
    <t>21. (rem 1.)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</si>
</sst>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h]:mm:ss;@"/>
    <numFmt numFmtId="165" formatCode="0.0"/>
    <numFmt numFmtId="166" formatCode="h:mm:ss"/>
    <numFmt numFmtId="167" formatCode="h:mm;@"/>
    <numFmt numFmtId="168" formatCode="#,##0.0"/>
    <numFmt numFmtId="169" formatCode="[$-407]d/\ mmm/;@"/>
    <numFmt numFmtId="170" formatCode="dd\ &quot;Tage&quot;\ hh\ &quot;Stunden&quot;\ mm\ &quot;Minuten&quot;"/>
  </numFmts>
  <fonts count="76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indexed="16"/>
      <name val="Arial"/>
    </font>
    <font>
      <sz val="10"/>
      <color indexed="18"/>
      <name val="Arial"/>
    </font>
    <font>
      <u/>
      <sz val="10"/>
      <color indexed="12"/>
      <name val="Arial"/>
    </font>
    <font>
      <sz val="10"/>
      <color indexed="23"/>
      <name val="Arial"/>
    </font>
    <font>
      <b/>
      <sz val="10"/>
      <color indexed="8"/>
      <name val="Arial"/>
    </font>
    <font>
      <sz val="10"/>
      <color indexed="8"/>
      <name val="Arial"/>
    </font>
    <font>
      <sz val="8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18"/>
      <name val="Arial"/>
      <family val="2"/>
    </font>
    <font>
      <b/>
      <sz val="10"/>
      <color indexed="8"/>
      <name val="Arial"/>
      <family val="2"/>
    </font>
    <font>
      <b/>
      <sz val="10"/>
      <color indexed="16"/>
      <name val="Arial"/>
      <family val="2"/>
    </font>
    <font>
      <b/>
      <u/>
      <sz val="10"/>
      <color indexed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theme="3"/>
      <name val="Arial"/>
      <family val="2"/>
    </font>
    <font>
      <b/>
      <sz val="8"/>
      <color theme="3"/>
      <name val="Arial"/>
      <family val="2"/>
    </font>
    <font>
      <sz val="10"/>
      <color rgb="FF002060"/>
      <name val="Arial"/>
      <family val="2"/>
    </font>
    <font>
      <sz val="14"/>
      <color rgb="FF002060"/>
      <name val="Arial"/>
      <family val="2"/>
    </font>
    <font>
      <sz val="12"/>
      <color rgb="FF002060"/>
      <name val="Arial"/>
      <family val="2"/>
    </font>
    <font>
      <sz val="8"/>
      <color rgb="FFC00000"/>
      <name val="Arial"/>
      <family val="2"/>
    </font>
    <font>
      <b/>
      <i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color rgb="FF002060"/>
      <name val="Arial"/>
      <family val="2"/>
    </font>
    <font>
      <u/>
      <sz val="10"/>
      <color indexed="12"/>
      <name val="Arial"/>
      <family val="2"/>
    </font>
    <font>
      <i/>
      <sz val="9"/>
      <color indexed="81"/>
      <name val="Tahoma"/>
      <family val="2"/>
    </font>
    <font>
      <b/>
      <sz val="12"/>
      <color rgb="FF002060"/>
      <name val="Arial"/>
      <family val="2"/>
    </font>
    <font>
      <sz val="10"/>
      <color indexed="18"/>
      <name val="Arial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8"/>
      <color theme="6" tint="-0.499984740745262"/>
      <name val="Arial"/>
      <family val="2"/>
    </font>
    <font>
      <sz val="8"/>
      <color theme="9" tint="-0.499984740745262"/>
      <name val="Arial"/>
      <family val="2"/>
    </font>
    <font>
      <b/>
      <sz val="8"/>
      <color theme="9" tint="-0.499984740745262"/>
      <name val="Arial"/>
      <family val="2"/>
    </font>
    <font>
      <b/>
      <i/>
      <sz val="8"/>
      <color theme="9" tint="-0.499984740745262"/>
      <name val="Arial"/>
      <family val="2"/>
    </font>
    <font>
      <sz val="10"/>
      <color indexed="16"/>
      <name val="Arial"/>
      <family val="2"/>
    </font>
    <font>
      <u/>
      <sz val="9"/>
      <color indexed="81"/>
      <name val="Tahoma"/>
      <family val="2"/>
    </font>
    <font>
      <sz val="10"/>
      <color indexed="8"/>
      <name val="Arial"/>
      <family val="2"/>
    </font>
    <font>
      <sz val="8"/>
      <color indexed="81"/>
      <name val="Tahoma"/>
      <family val="2"/>
    </font>
    <font>
      <b/>
      <u/>
      <sz val="9"/>
      <color indexed="81"/>
      <name val="Tahoma"/>
      <family val="2"/>
    </font>
    <font>
      <b/>
      <i/>
      <sz val="10"/>
      <color indexed="8"/>
      <name val="Arial"/>
      <family val="2"/>
    </font>
    <font>
      <i/>
      <u/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8"/>
      <color rgb="FF6600CC"/>
      <name val="Arial"/>
      <family val="2"/>
    </font>
    <font>
      <sz val="8"/>
      <color rgb="FFCC3300"/>
      <name val="Arial"/>
      <family val="2"/>
    </font>
    <font>
      <sz val="10"/>
      <color indexed="12"/>
      <name val="Arial"/>
      <family val="2"/>
    </font>
    <font>
      <sz val="10"/>
      <color theme="0" tint="-0.499984740745262"/>
      <name val="Arial"/>
      <family val="2"/>
    </font>
    <font>
      <sz val="7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0"/>
      <color theme="5" tint="-0.249977111117893"/>
      <name val="Arial"/>
      <family val="2"/>
    </font>
    <font>
      <sz val="10"/>
      <color theme="7" tint="-0.249977111117893"/>
      <name val="Arial"/>
      <family val="2"/>
    </font>
    <font>
      <sz val="8"/>
      <color rgb="FF002060"/>
      <name val="Arial"/>
      <family val="2"/>
    </font>
    <font>
      <sz val="8"/>
      <color rgb="FF006600"/>
      <name val="Arial"/>
      <family val="2"/>
    </font>
    <font>
      <sz val="8"/>
      <color rgb="FF600000"/>
      <name val="Arial"/>
      <family val="2"/>
    </font>
    <font>
      <b/>
      <sz val="10"/>
      <color rgb="FF3F3F3F"/>
      <name val="Arial"/>
      <family val="2"/>
    </font>
    <font>
      <b/>
      <i/>
      <sz val="9"/>
      <color indexed="81"/>
      <name val="Tahoma"/>
      <family val="2"/>
    </font>
    <font>
      <i/>
      <sz val="8"/>
      <color indexed="81"/>
      <name val="Tahoma"/>
      <family val="2"/>
    </font>
    <font>
      <u/>
      <sz val="8"/>
      <color indexed="81"/>
      <name val="Tahoma"/>
      <family val="2"/>
    </font>
    <font>
      <sz val="14"/>
      <color theme="0"/>
      <name val="Arial"/>
      <family val="2"/>
    </font>
    <font>
      <b/>
      <sz val="8"/>
      <color indexed="81"/>
      <name val="Tahoma"/>
      <family val="2"/>
    </font>
    <font>
      <b/>
      <sz val="10"/>
      <color indexed="12"/>
      <name val="Arial"/>
      <family val="2"/>
    </font>
    <font>
      <b/>
      <sz val="10"/>
      <color theme="0" tint="-0.499984740745262"/>
      <name val="Arial"/>
      <family val="2"/>
    </font>
    <font>
      <i/>
      <sz val="8"/>
      <name val="Arial"/>
      <family val="2"/>
    </font>
    <font>
      <i/>
      <sz val="8"/>
      <color theme="3"/>
      <name val="Arial"/>
      <family val="2"/>
    </font>
    <font>
      <sz val="14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6" tint="-0.24994659260841701"/>
        <bgColor indexed="64"/>
      </patternFill>
    </fill>
    <fill>
      <gradientFill degree="90">
        <stop position="0">
          <color theme="0"/>
        </stop>
        <stop position="1">
          <color theme="6" tint="0.80001220740379042"/>
        </stop>
      </gradientFill>
    </fill>
    <fill>
      <patternFill patternType="solid">
        <fgColor theme="6" tint="-0.499984740745262"/>
        <bgColor indexed="64"/>
      </patternFill>
    </fill>
    <fill>
      <gradientFill degree="90">
        <stop position="0">
          <color theme="0"/>
        </stop>
        <stop position="1">
          <color theme="9" tint="0.80001220740379042"/>
        </stop>
      </gradientFill>
    </fill>
    <fill>
      <patternFill patternType="solid">
        <fgColor theme="9" tint="-0.499984740745262"/>
        <bgColor indexed="64"/>
      </patternFill>
    </fill>
    <fill>
      <gradientFill>
        <stop position="0">
          <color theme="2" tint="-9.8025452436902985E-2"/>
        </stop>
        <stop position="0.5">
          <color theme="0"/>
        </stop>
        <stop position="1">
          <color theme="2" tint="-9.8025452436902985E-2"/>
        </stop>
      </gradient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gradientFill>
        <stop position="0">
          <color theme="5" tint="0.80001220740379042"/>
        </stop>
        <stop position="0.5">
          <color theme="0"/>
        </stop>
        <stop position="1">
          <color theme="5" tint="0.80001220740379042"/>
        </stop>
      </gradientFill>
    </fill>
    <fill>
      <gradientFill>
        <stop position="0">
          <color theme="8" tint="0.80001220740379042"/>
        </stop>
        <stop position="0.5">
          <color theme="0"/>
        </stop>
        <stop position="1">
          <color theme="8" tint="0.80001220740379042"/>
        </stop>
      </gradientFill>
    </fill>
    <fill>
      <gradientFill>
        <stop position="0">
          <color theme="7" tint="-0.25098422193060094"/>
        </stop>
        <stop position="0.5">
          <color theme="0"/>
        </stop>
        <stop position="1">
          <color theme="7" tint="-0.25098422193060094"/>
        </stop>
      </gradientFill>
    </fill>
    <fill>
      <gradientFill>
        <stop position="0">
          <color rgb="FF00B050"/>
        </stop>
        <stop position="0.5">
          <color theme="0"/>
        </stop>
        <stop position="1">
          <color rgb="FF00B050"/>
        </stop>
      </gradientFill>
    </fill>
    <fill>
      <patternFill patternType="solid">
        <fgColor rgb="FFFFCC99"/>
      </patternFill>
    </fill>
    <fill>
      <patternFill patternType="solid">
        <fgColor rgb="FFF2F2F2"/>
      </patternFill>
    </fill>
    <fill>
      <gradientFill degree="90">
        <stop position="0">
          <color theme="0"/>
        </stop>
        <stop position="1">
          <color theme="8" tint="0.80001220740379042"/>
        </stop>
      </gradientFill>
    </fill>
    <fill>
      <gradientFill>
        <stop position="0">
          <color rgb="FF0000FF"/>
        </stop>
        <stop position="0.5">
          <color theme="0"/>
        </stop>
        <stop position="1">
          <color rgb="FF0000FF"/>
        </stop>
      </gradientFill>
    </fill>
    <fill>
      <gradientFill>
        <stop position="0">
          <color rgb="FFFF6600"/>
        </stop>
        <stop position="0.5">
          <color rgb="FFFFC000"/>
        </stop>
        <stop position="1">
          <color rgb="FFFF6600"/>
        </stop>
      </gradientFill>
    </fill>
    <fill>
      <gradientFill>
        <stop position="0">
          <color theme="0"/>
        </stop>
        <stop position="0.5">
          <color theme="1"/>
        </stop>
        <stop position="1">
          <color theme="0"/>
        </stop>
      </gradientFill>
    </fill>
    <fill>
      <gradientFill degree="90">
        <stop position="0">
          <color theme="0"/>
        </stop>
        <stop position="1">
          <color theme="0" tint="-0.25098422193060094"/>
        </stop>
      </gradientFill>
    </fill>
    <fill>
      <gradientFill degree="180">
        <stop position="0">
          <color theme="0"/>
        </stop>
        <stop position="1">
          <color theme="0" tint="-0.25098422193060094"/>
        </stop>
      </gradientFill>
    </fill>
    <fill>
      <gradientFill degree="45">
        <stop position="0">
          <color theme="0"/>
        </stop>
        <stop position="1">
          <color theme="0" tint="-0.25098422193060094"/>
        </stop>
      </gradientFill>
    </fill>
    <fill>
      <gradientFill>
        <stop position="0">
          <color theme="0"/>
        </stop>
        <stop position="0.5">
          <color theme="4" tint="0.40000610370189521"/>
        </stop>
        <stop position="1">
          <color theme="0"/>
        </stop>
      </gradientFill>
    </fill>
    <fill>
      <gradientFill>
        <stop position="0">
          <color theme="0"/>
        </stop>
        <stop position="0.5">
          <color rgb="FF000099"/>
        </stop>
        <stop position="1">
          <color theme="0"/>
        </stop>
      </gradientFill>
    </fill>
    <fill>
      <gradientFill degree="90">
        <stop position="0">
          <color theme="0"/>
        </stop>
        <stop position="1">
          <color rgb="FFFFFF00"/>
        </stop>
      </gradientFill>
    </fill>
    <fill>
      <gradientFill degree="45">
        <stop position="0">
          <color theme="0"/>
        </stop>
        <stop position="1">
          <color rgb="FFFF3300"/>
        </stop>
      </gradientFill>
    </fill>
  </fills>
  <borders count="31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auto="1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rgb="FF3F3F3F"/>
      </top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58" fillId="28" borderId="15" applyNumberFormat="0" applyAlignment="0" applyProtection="0"/>
    <xf numFmtId="0" fontId="59" fillId="29" borderId="16" applyNumberFormat="0" applyAlignment="0" applyProtection="0"/>
  </cellStyleXfs>
  <cellXfs count="469">
    <xf numFmtId="0" fontId="0" fillId="0" borderId="0" xfId="0"/>
    <xf numFmtId="0" fontId="2" fillId="0" borderId="0" xfId="0" applyFont="1"/>
    <xf numFmtId="164" fontId="0" fillId="0" borderId="0" xfId="0" applyNumberFormat="1"/>
    <xf numFmtId="2" fontId="3" fillId="0" borderId="0" xfId="0" applyNumberFormat="1" applyFont="1"/>
    <xf numFmtId="165" fontId="4" fillId="0" borderId="0" xfId="0" applyNumberFormat="1" applyFont="1"/>
    <xf numFmtId="1" fontId="0" fillId="0" borderId="0" xfId="0" applyNumberFormat="1"/>
    <xf numFmtId="49" fontId="0" fillId="0" borderId="0" xfId="0" applyNumberFormat="1"/>
    <xf numFmtId="0" fontId="5" fillId="0" borderId="0" xfId="1" applyAlignment="1" applyProtection="1"/>
    <xf numFmtId="1" fontId="3" fillId="0" borderId="0" xfId="0" applyNumberFormat="1" applyFont="1"/>
    <xf numFmtId="165" fontId="3" fillId="0" borderId="0" xfId="0" applyNumberFormat="1" applyFont="1"/>
    <xf numFmtId="164" fontId="3" fillId="0" borderId="0" xfId="0" applyNumberFormat="1" applyFont="1"/>
    <xf numFmtId="2" fontId="0" fillId="0" borderId="0" xfId="0" applyNumberFormat="1"/>
    <xf numFmtId="165" fontId="0" fillId="0" borderId="0" xfId="0" applyNumberFormat="1"/>
    <xf numFmtId="1" fontId="4" fillId="0" borderId="0" xfId="0" applyNumberFormat="1" applyFont="1"/>
    <xf numFmtId="2" fontId="4" fillId="0" borderId="0" xfId="0" applyNumberFormat="1" applyFont="1"/>
    <xf numFmtId="0" fontId="7" fillId="0" borderId="0" xfId="0" applyFont="1"/>
    <xf numFmtId="49" fontId="8" fillId="0" borderId="0" xfId="0" applyNumberFormat="1" applyFont="1"/>
    <xf numFmtId="164" fontId="8" fillId="0" borderId="0" xfId="0" applyNumberFormat="1" applyFont="1"/>
    <xf numFmtId="10" fontId="0" fillId="0" borderId="0" xfId="0" applyNumberFormat="1"/>
    <xf numFmtId="10" fontId="8" fillId="0" borderId="0" xfId="0" applyNumberFormat="1" applyFont="1"/>
    <xf numFmtId="165" fontId="8" fillId="0" borderId="0" xfId="0" applyNumberFormat="1" applyFont="1"/>
    <xf numFmtId="0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10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5" fillId="0" borderId="0" xfId="1" applyBorder="1" applyAlignment="1" applyProtection="1"/>
    <xf numFmtId="0" fontId="8" fillId="0" borderId="0" xfId="0" applyFont="1" applyBorder="1"/>
    <xf numFmtId="0" fontId="0" fillId="0" borderId="0" xfId="0" applyBorder="1" applyAlignment="1">
      <alignment wrapText="1"/>
    </xf>
    <xf numFmtId="0" fontId="2" fillId="0" borderId="0" xfId="0" applyFont="1" applyBorder="1"/>
    <xf numFmtId="0" fontId="5" fillId="0" borderId="0" xfId="1" applyAlignment="1" applyProtection="1">
      <alignment horizontal="center"/>
    </xf>
    <xf numFmtId="0" fontId="0" fillId="0" borderId="0" xfId="0" applyAlignment="1">
      <alignment horizontal="center"/>
    </xf>
    <xf numFmtId="0" fontId="13" fillId="0" borderId="0" xfId="0" applyFont="1"/>
    <xf numFmtId="164" fontId="14" fillId="0" borderId="1" xfId="0" applyNumberFormat="1" applyFont="1" applyBorder="1"/>
    <xf numFmtId="2" fontId="14" fillId="0" borderId="1" xfId="0" applyNumberFormat="1" applyFont="1" applyBorder="1"/>
    <xf numFmtId="165" fontId="14" fillId="0" borderId="1" xfId="0" applyNumberFormat="1" applyFont="1" applyBorder="1"/>
    <xf numFmtId="1" fontId="12" fillId="0" borderId="1" xfId="0" applyNumberFormat="1" applyFont="1" applyBorder="1"/>
    <xf numFmtId="1" fontId="14" fillId="0" borderId="1" xfId="0" applyNumberFormat="1" applyFont="1" applyBorder="1"/>
    <xf numFmtId="0" fontId="13" fillId="0" borderId="0" xfId="0" applyFont="1" applyBorder="1"/>
    <xf numFmtId="0" fontId="2" fillId="0" borderId="0" xfId="0" applyFont="1" applyAlignment="1">
      <alignment horizontal="center"/>
    </xf>
    <xf numFmtId="10" fontId="13" fillId="0" borderId="0" xfId="0" applyNumberFormat="1" applyFont="1" applyBorder="1"/>
    <xf numFmtId="0" fontId="2" fillId="2" borderId="0" xfId="0" applyNumberFormat="1" applyFont="1" applyFill="1" applyBorder="1" applyAlignment="1">
      <alignment horizontal="left"/>
    </xf>
    <xf numFmtId="0" fontId="15" fillId="2" borderId="0" xfId="1" applyNumberFormat="1" applyFont="1" applyFill="1" applyBorder="1" applyAlignment="1" applyProtection="1">
      <alignment horizontal="left"/>
    </xf>
    <xf numFmtId="0" fontId="5" fillId="0" borderId="0" xfId="1" applyAlignment="1" applyProtection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Border="1" applyAlignment="1">
      <alignment horizontal="center"/>
    </xf>
    <xf numFmtId="0" fontId="6" fillId="0" borderId="0" xfId="0" applyFont="1" applyAlignment="1">
      <alignment horizontal="left"/>
    </xf>
    <xf numFmtId="49" fontId="21" fillId="0" borderId="0" xfId="0" applyNumberFormat="1" applyFont="1" applyAlignment="1">
      <alignment horizontal="center"/>
    </xf>
    <xf numFmtId="49" fontId="21" fillId="0" borderId="0" xfId="0" applyNumberFormat="1" applyFont="1"/>
    <xf numFmtId="49" fontId="22" fillId="0" borderId="0" xfId="0" applyNumberFormat="1" applyFont="1"/>
    <xf numFmtId="4" fontId="21" fillId="0" borderId="0" xfId="0" applyNumberFormat="1" applyFont="1"/>
    <xf numFmtId="3" fontId="23" fillId="0" borderId="0" xfId="0" applyNumberFormat="1" applyFont="1"/>
    <xf numFmtId="0" fontId="21" fillId="0" borderId="0" xfId="0" applyFont="1"/>
    <xf numFmtId="4" fontId="22" fillId="0" borderId="0" xfId="0" applyNumberFormat="1" applyFont="1"/>
    <xf numFmtId="3" fontId="24" fillId="0" borderId="0" xfId="0" applyNumberFormat="1" applyFont="1"/>
    <xf numFmtId="0" fontId="22" fillId="0" borderId="0" xfId="0" applyFont="1"/>
    <xf numFmtId="0" fontId="21" fillId="0" borderId="0" xfId="0" applyFont="1" applyAlignment="1">
      <alignment horizontal="center"/>
    </xf>
    <xf numFmtId="2" fontId="21" fillId="0" borderId="0" xfId="0" applyNumberFormat="1" applyFont="1"/>
    <xf numFmtId="1" fontId="23" fillId="0" borderId="0" xfId="0" applyNumberFormat="1" applyFont="1"/>
    <xf numFmtId="0" fontId="25" fillId="0" borderId="0" xfId="0" applyFont="1" applyFill="1"/>
    <xf numFmtId="0" fontId="18" fillId="0" borderId="0" xfId="0" applyFont="1" applyBorder="1" applyAlignment="1">
      <alignment horizontal="left"/>
    </xf>
    <xf numFmtId="0" fontId="18" fillId="0" borderId="0" xfId="0" applyFont="1" applyAlignment="1">
      <alignment horizontal="left"/>
    </xf>
    <xf numFmtId="49" fontId="28" fillId="6" borderId="0" xfId="0" applyNumberFormat="1" applyFont="1" applyFill="1" applyAlignment="1">
      <alignment horizontal="center"/>
    </xf>
    <xf numFmtId="0" fontId="30" fillId="0" borderId="0" xfId="0" applyFont="1"/>
    <xf numFmtId="0" fontId="31" fillId="0" borderId="0" xfId="0" applyFont="1"/>
    <xf numFmtId="0" fontId="32" fillId="7" borderId="0" xfId="1" applyFont="1" applyFill="1" applyAlignment="1" applyProtection="1"/>
    <xf numFmtId="2" fontId="21" fillId="0" borderId="2" xfId="0" applyNumberFormat="1" applyFont="1" applyBorder="1"/>
    <xf numFmtId="1" fontId="23" fillId="0" borderId="2" xfId="0" applyNumberFormat="1" applyFont="1" applyBorder="1"/>
    <xf numFmtId="49" fontId="28" fillId="6" borderId="3" xfId="0" applyNumberFormat="1" applyFont="1" applyFill="1" applyBorder="1" applyAlignment="1">
      <alignment horizontal="center"/>
    </xf>
    <xf numFmtId="49" fontId="21" fillId="0" borderId="3" xfId="0" applyNumberFormat="1" applyFont="1" applyBorder="1"/>
    <xf numFmtId="49" fontId="22" fillId="0" borderId="3" xfId="0" applyNumberFormat="1" applyFont="1" applyBorder="1"/>
    <xf numFmtId="0" fontId="21" fillId="0" borderId="3" xfId="0" applyFont="1" applyBorder="1"/>
    <xf numFmtId="0" fontId="33" fillId="0" borderId="0" xfId="1" applyFont="1" applyAlignment="1" applyProtection="1"/>
    <xf numFmtId="164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10" fontId="2" fillId="0" borderId="0" xfId="0" applyNumberFormat="1" applyFont="1" applyFill="1" applyBorder="1" applyAlignment="1">
      <alignment horizontal="center"/>
    </xf>
    <xf numFmtId="0" fontId="18" fillId="13" borderId="0" xfId="0" applyFont="1" applyFill="1"/>
    <xf numFmtId="0" fontId="0" fillId="13" borderId="0" xfId="0" applyFill="1"/>
    <xf numFmtId="2" fontId="36" fillId="0" borderId="0" xfId="0" applyNumberFormat="1" applyFont="1"/>
    <xf numFmtId="1" fontId="36" fillId="0" borderId="0" xfId="0" applyNumberFormat="1" applyFont="1"/>
    <xf numFmtId="49" fontId="0" fillId="0" borderId="0" xfId="0" applyNumberFormat="1" applyFont="1"/>
    <xf numFmtId="1" fontId="39" fillId="0" borderId="0" xfId="0" applyNumberFormat="1" applyFont="1" applyAlignment="1">
      <alignment horizontal="center"/>
    </xf>
    <xf numFmtId="1" fontId="39" fillId="0" borderId="2" xfId="0" applyNumberFormat="1" applyFont="1" applyBorder="1" applyAlignment="1">
      <alignment horizontal="center"/>
    </xf>
    <xf numFmtId="1" fontId="39" fillId="0" borderId="3" xfId="0" applyNumberFormat="1" applyFont="1" applyBorder="1" applyAlignment="1">
      <alignment horizontal="center"/>
    </xf>
    <xf numFmtId="1" fontId="39" fillId="0" borderId="4" xfId="0" applyNumberFormat="1" applyFont="1" applyBorder="1" applyAlignment="1">
      <alignment horizontal="center"/>
    </xf>
    <xf numFmtId="49" fontId="39" fillId="0" borderId="3" xfId="0" applyNumberFormat="1" applyFont="1" applyBorder="1"/>
    <xf numFmtId="1" fontId="21" fillId="0" borderId="0" xfId="0" applyNumberFormat="1" applyFont="1"/>
    <xf numFmtId="1" fontId="40" fillId="0" borderId="0" xfId="0" applyNumberFormat="1" applyFont="1"/>
    <xf numFmtId="1" fontId="41" fillId="0" borderId="0" xfId="0" applyNumberFormat="1" applyFont="1"/>
    <xf numFmtId="0" fontId="25" fillId="0" borderId="0" xfId="0" applyFont="1" applyFill="1" applyAlignment="1"/>
    <xf numFmtId="3" fontId="35" fillId="18" borderId="0" xfId="0" applyNumberFormat="1" applyFont="1" applyFill="1" applyAlignment="1">
      <alignment horizontal="right"/>
    </xf>
    <xf numFmtId="0" fontId="35" fillId="16" borderId="0" xfId="0" applyFont="1" applyFill="1" applyAlignment="1">
      <alignment horizontal="right"/>
    </xf>
    <xf numFmtId="4" fontId="27" fillId="4" borderId="0" xfId="0" applyNumberFormat="1" applyFont="1" applyFill="1" applyAlignment="1">
      <alignment horizontal="right"/>
    </xf>
    <xf numFmtId="3" fontId="27" fillId="17" borderId="0" xfId="0" applyNumberFormat="1" applyFont="1" applyFill="1" applyAlignment="1">
      <alignment horizontal="right"/>
    </xf>
    <xf numFmtId="0" fontId="27" fillId="19" borderId="0" xfId="0" applyFont="1" applyFill="1" applyAlignment="1">
      <alignment horizontal="right"/>
    </xf>
    <xf numFmtId="2" fontId="22" fillId="0" borderId="0" xfId="0" applyNumberFormat="1" applyFont="1"/>
    <xf numFmtId="1" fontId="24" fillId="0" borderId="0" xfId="0" applyNumberFormat="1" applyFont="1"/>
    <xf numFmtId="1" fontId="42" fillId="0" borderId="0" xfId="0" applyNumberFormat="1" applyFont="1"/>
    <xf numFmtId="1" fontId="18" fillId="0" borderId="0" xfId="0" applyNumberFormat="1" applyFont="1"/>
    <xf numFmtId="0" fontId="25" fillId="0" borderId="3" xfId="0" applyFont="1" applyFill="1" applyBorder="1"/>
    <xf numFmtId="0" fontId="21" fillId="0" borderId="3" xfId="0" applyFont="1" applyBorder="1" applyAlignment="1">
      <alignment horizontal="center"/>
    </xf>
    <xf numFmtId="0" fontId="22" fillId="0" borderId="3" xfId="0" applyFont="1" applyBorder="1"/>
    <xf numFmtId="2" fontId="24" fillId="0" borderId="0" xfId="0" applyNumberFormat="1" applyFont="1"/>
    <xf numFmtId="0" fontId="22" fillId="0" borderId="2" xfId="0" applyFont="1" applyBorder="1"/>
    <xf numFmtId="1" fontId="22" fillId="0" borderId="2" xfId="0" applyNumberFormat="1" applyFont="1" applyBorder="1" applyAlignment="1">
      <alignment horizontal="center"/>
    </xf>
    <xf numFmtId="1" fontId="24" fillId="0" borderId="2" xfId="0" applyNumberFormat="1" applyFont="1" applyBorder="1" applyAlignment="1">
      <alignment horizontal="center"/>
    </xf>
    <xf numFmtId="0" fontId="22" fillId="0" borderId="4" xfId="0" applyFont="1" applyBorder="1"/>
    <xf numFmtId="1" fontId="24" fillId="0" borderId="5" xfId="0" applyNumberFormat="1" applyFont="1" applyBorder="1" applyAlignment="1">
      <alignment horizontal="center"/>
    </xf>
    <xf numFmtId="0" fontId="0" fillId="0" borderId="6" xfId="0" applyBorder="1"/>
    <xf numFmtId="0" fontId="0" fillId="0" borderId="3" xfId="0" applyBorder="1"/>
    <xf numFmtId="0" fontId="22" fillId="0" borderId="2" xfId="0" applyFont="1" applyBorder="1" applyAlignment="1">
      <alignment horizontal="left"/>
    </xf>
    <xf numFmtId="1" fontId="41" fillId="0" borderId="2" xfId="0" applyNumberFormat="1" applyFont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22" fillId="0" borderId="0" xfId="0" applyFont="1" applyAlignment="1">
      <alignment horizontal="center"/>
    </xf>
    <xf numFmtId="9" fontId="40" fillId="0" borderId="0" xfId="0" applyNumberFormat="1" applyFont="1"/>
    <xf numFmtId="2" fontId="43" fillId="0" borderId="0" xfId="0" applyNumberFormat="1" applyFont="1"/>
    <xf numFmtId="0" fontId="25" fillId="0" borderId="3" xfId="0" applyFont="1" applyFill="1" applyBorder="1" applyAlignment="1"/>
    <xf numFmtId="0" fontId="22" fillId="0" borderId="3" xfId="0" applyFont="1" applyBorder="1" applyAlignment="1">
      <alignment horizontal="center"/>
    </xf>
    <xf numFmtId="0" fontId="0" fillId="0" borderId="9" xfId="0" applyBorder="1"/>
    <xf numFmtId="0" fontId="5" fillId="0" borderId="0" xfId="1" applyBorder="1" applyAlignment="1" applyProtection="1">
      <alignment horizontal="left"/>
    </xf>
    <xf numFmtId="3" fontId="0" fillId="8" borderId="3" xfId="0" applyNumberFormat="1" applyFill="1" applyBorder="1"/>
    <xf numFmtId="0" fontId="0" fillId="8" borderId="3" xfId="0" applyFill="1" applyBorder="1"/>
    <xf numFmtId="14" fontId="0" fillId="8" borderId="3" xfId="0" applyNumberFormat="1" applyFill="1" applyBorder="1"/>
    <xf numFmtId="0" fontId="18" fillId="0" borderId="0" xfId="0" applyFont="1" applyBorder="1"/>
    <xf numFmtId="0" fontId="0" fillId="0" borderId="0" xfId="0" applyNumberFormat="1" applyBorder="1"/>
    <xf numFmtId="1" fontId="0" fillId="0" borderId="0" xfId="0" applyNumberFormat="1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NumberFormat="1" applyBorder="1"/>
    <xf numFmtId="0" fontId="0" fillId="0" borderId="2" xfId="0" applyNumberFormat="1" applyBorder="1"/>
    <xf numFmtId="0" fontId="0" fillId="0" borderId="5" xfId="0" applyBorder="1"/>
    <xf numFmtId="1" fontId="0" fillId="0" borderId="3" xfId="0" applyNumberFormat="1" applyBorder="1"/>
    <xf numFmtId="164" fontId="0" fillId="0" borderId="0" xfId="0" applyNumberFormat="1" applyBorder="1"/>
    <xf numFmtId="165" fontId="0" fillId="0" borderId="0" xfId="0" applyNumberFormat="1" applyBorder="1"/>
    <xf numFmtId="165" fontId="0" fillId="0" borderId="2" xfId="0" applyNumberFormat="1" applyBorder="1"/>
    <xf numFmtId="164" fontId="0" fillId="0" borderId="2" xfId="0" applyNumberFormat="1" applyBorder="1"/>
    <xf numFmtId="0" fontId="0" fillId="0" borderId="2" xfId="0" applyBorder="1"/>
    <xf numFmtId="1" fontId="0" fillId="0" borderId="2" xfId="0" applyNumberFormat="1" applyBorder="1"/>
    <xf numFmtId="49" fontId="0" fillId="4" borderId="3" xfId="0" applyNumberFormat="1" applyFill="1" applyBorder="1"/>
    <xf numFmtId="49" fontId="0" fillId="5" borderId="3" xfId="0" applyNumberFormat="1" applyFill="1" applyBorder="1"/>
    <xf numFmtId="49" fontId="0" fillId="5" borderId="4" xfId="0" applyNumberFormat="1" applyFill="1" applyBorder="1"/>
    <xf numFmtId="49" fontId="18" fillId="4" borderId="9" xfId="0" applyNumberFormat="1" applyFont="1" applyFill="1" applyBorder="1"/>
    <xf numFmtId="49" fontId="18" fillId="5" borderId="9" xfId="0" applyNumberFormat="1" applyFont="1" applyFill="1" applyBorder="1"/>
    <xf numFmtId="49" fontId="18" fillId="5" borderId="5" xfId="0" applyNumberFormat="1" applyFont="1" applyFill="1" applyBorder="1"/>
    <xf numFmtId="1" fontId="8" fillId="0" borderId="0" xfId="0" applyNumberFormat="1" applyFont="1"/>
    <xf numFmtId="165" fontId="18" fillId="0" borderId="0" xfId="0" applyNumberFormat="1" applyFont="1"/>
    <xf numFmtId="165" fontId="45" fillId="0" borderId="0" xfId="0" applyNumberFormat="1" applyFont="1"/>
    <xf numFmtId="2" fontId="0" fillId="0" borderId="3" xfId="0" applyNumberFormat="1" applyBorder="1"/>
    <xf numFmtId="2" fontId="0" fillId="0" borderId="4" xfId="0" applyNumberFormat="1" applyBorder="1"/>
    <xf numFmtId="1" fontId="4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/>
    </xf>
    <xf numFmtId="49" fontId="2" fillId="0" borderId="0" xfId="0" applyNumberFormat="1" applyFont="1" applyFill="1" applyAlignment="1">
      <alignment horizontal="center"/>
    </xf>
    <xf numFmtId="49" fontId="2" fillId="0" borderId="0" xfId="0" applyNumberFormat="1" applyFont="1" applyAlignment="1"/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167" fontId="0" fillId="0" borderId="0" xfId="0" applyNumberFormat="1" applyBorder="1"/>
    <xf numFmtId="167" fontId="0" fillId="0" borderId="2" xfId="0" applyNumberFormat="1" applyBorder="1"/>
    <xf numFmtId="1" fontId="48" fillId="0" borderId="1" xfId="0" applyNumberFormat="1" applyFont="1" applyBorder="1" applyAlignment="1">
      <alignment horizontal="center"/>
    </xf>
    <xf numFmtId="0" fontId="31" fillId="0" borderId="0" xfId="0" applyFont="1" applyFill="1"/>
    <xf numFmtId="0" fontId="30" fillId="0" borderId="0" xfId="0" applyFont="1" applyFill="1"/>
    <xf numFmtId="0" fontId="0" fillId="0" borderId="0" xfId="0" applyFill="1"/>
    <xf numFmtId="0" fontId="5" fillId="0" borderId="9" xfId="1" applyBorder="1" applyAlignment="1" applyProtection="1"/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2" fontId="0" fillId="0" borderId="0" xfId="0" applyNumberFormat="1" applyBorder="1"/>
    <xf numFmtId="2" fontId="4" fillId="0" borderId="0" xfId="0" applyNumberFormat="1" applyFont="1" applyBorder="1"/>
    <xf numFmtId="1" fontId="4" fillId="0" borderId="0" xfId="0" applyNumberFormat="1" applyFont="1" applyBorder="1"/>
    <xf numFmtId="0" fontId="21" fillId="0" borderId="6" xfId="0" applyFont="1" applyBorder="1"/>
    <xf numFmtId="2" fontId="0" fillId="0" borderId="2" xfId="0" applyNumberFormat="1" applyBorder="1"/>
    <xf numFmtId="0" fontId="0" fillId="0" borderId="0" xfId="0" applyFill="1" applyBorder="1"/>
    <xf numFmtId="10" fontId="5" fillId="0" borderId="0" xfId="1" applyNumberFormat="1" applyAlignment="1" applyProtection="1"/>
    <xf numFmtId="0" fontId="41" fillId="0" borderId="0" xfId="0" applyFont="1" applyAlignment="1">
      <alignment horizontal="right"/>
    </xf>
    <xf numFmtId="1" fontId="41" fillId="0" borderId="0" xfId="0" applyNumberFormat="1" applyFont="1" applyAlignment="1">
      <alignment horizontal="center"/>
    </xf>
    <xf numFmtId="2" fontId="36" fillId="0" borderId="0" xfId="0" applyNumberFormat="1" applyFont="1" applyFill="1" applyBorder="1"/>
    <xf numFmtId="1" fontId="0" fillId="0" borderId="0" xfId="0" applyNumberFormat="1" applyFill="1" applyBorder="1"/>
    <xf numFmtId="1" fontId="36" fillId="0" borderId="0" xfId="0" applyNumberFormat="1" applyFont="1" applyFill="1" applyBorder="1"/>
    <xf numFmtId="165" fontId="0" fillId="0" borderId="0" xfId="0" applyNumberFormat="1" applyFill="1" applyBorder="1"/>
    <xf numFmtId="2" fontId="4" fillId="0" borderId="0" xfId="0" applyNumberFormat="1" applyFont="1" applyFill="1" applyBorder="1"/>
    <xf numFmtId="1" fontId="4" fillId="0" borderId="0" xfId="0" applyNumberFormat="1" applyFont="1" applyFill="1" applyBorder="1"/>
    <xf numFmtId="168" fontId="27" fillId="15" borderId="0" xfId="0" applyNumberFormat="1" applyFont="1" applyFill="1" applyAlignment="1">
      <alignment horizontal="left"/>
    </xf>
    <xf numFmtId="167" fontId="21" fillId="0" borderId="0" xfId="0" applyNumberFormat="1" applyFont="1"/>
    <xf numFmtId="167" fontId="21" fillId="0" borderId="2" xfId="0" applyNumberFormat="1" applyFont="1" applyBorder="1"/>
    <xf numFmtId="167" fontId="40" fillId="0" borderId="0" xfId="0" applyNumberFormat="1" applyFont="1"/>
    <xf numFmtId="167" fontId="41" fillId="0" borderId="0" xfId="0" applyNumberFormat="1" applyFont="1"/>
    <xf numFmtId="0" fontId="18" fillId="0" borderId="3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9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169" fontId="51" fillId="0" borderId="4" xfId="2" applyNumberFormat="1" applyFont="1" applyBorder="1" applyAlignment="1">
      <alignment horizontal="center"/>
    </xf>
    <xf numFmtId="169" fontId="50" fillId="0" borderId="2" xfId="2" applyNumberFormat="1" applyFont="1" applyBorder="1" applyAlignment="1">
      <alignment horizontal="center"/>
    </xf>
    <xf numFmtId="169" fontId="51" fillId="0" borderId="5" xfId="2" applyNumberFormat="1" applyFont="1" applyBorder="1" applyAlignment="1">
      <alignment horizontal="center"/>
    </xf>
    <xf numFmtId="0" fontId="33" fillId="0" borderId="0" xfId="1" applyFont="1" applyAlignment="1" applyProtection="1">
      <alignment horizontal="center"/>
    </xf>
    <xf numFmtId="0" fontId="18" fillId="0" borderId="0" xfId="0" applyFont="1"/>
    <xf numFmtId="0" fontId="18" fillId="0" borderId="3" xfId="0" applyFont="1" applyBorder="1"/>
    <xf numFmtId="4" fontId="0" fillId="0" borderId="0" xfId="0" applyNumberFormat="1" applyBorder="1"/>
    <xf numFmtId="3" fontId="0" fillId="0" borderId="9" xfId="0" applyNumberFormat="1" applyBorder="1"/>
    <xf numFmtId="3" fontId="0" fillId="0" borderId="0" xfId="0" applyNumberFormat="1" applyBorder="1"/>
    <xf numFmtId="0" fontId="18" fillId="0" borderId="4" xfId="0" applyFont="1" applyBorder="1"/>
    <xf numFmtId="3" fontId="0" fillId="0" borderId="5" xfId="0" applyNumberFormat="1" applyBorder="1"/>
    <xf numFmtId="0" fontId="2" fillId="0" borderId="3" xfId="0" applyFont="1" applyBorder="1"/>
    <xf numFmtId="1" fontId="52" fillId="0" borderId="0" xfId="0" applyNumberFormat="1" applyFont="1"/>
    <xf numFmtId="3" fontId="41" fillId="0" borderId="0" xfId="0" applyNumberFormat="1" applyFont="1"/>
    <xf numFmtId="167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53" fillId="0" borderId="3" xfId="0" applyFont="1" applyBorder="1"/>
    <xf numFmtId="165" fontId="53" fillId="0" borderId="0" xfId="0" applyNumberFormat="1" applyFont="1"/>
    <xf numFmtId="1" fontId="53" fillId="0" borderId="0" xfId="0" applyNumberFormat="1" applyFont="1"/>
    <xf numFmtId="0" fontId="53" fillId="0" borderId="0" xfId="0" applyFont="1"/>
    <xf numFmtId="0" fontId="54" fillId="0" borderId="3" xfId="0" applyFont="1" applyBorder="1"/>
    <xf numFmtId="165" fontId="54" fillId="0" borderId="0" xfId="0" applyNumberFormat="1" applyFont="1"/>
    <xf numFmtId="1" fontId="54" fillId="0" borderId="0" xfId="0" applyNumberFormat="1" applyFont="1"/>
    <xf numFmtId="0" fontId="54" fillId="0" borderId="0" xfId="0" applyFont="1"/>
    <xf numFmtId="9" fontId="54" fillId="0" borderId="0" xfId="0" applyNumberFormat="1" applyFont="1"/>
    <xf numFmtId="9" fontId="53" fillId="0" borderId="0" xfId="0" applyNumberFormat="1" applyFont="1"/>
    <xf numFmtId="167" fontId="2" fillId="0" borderId="0" xfId="0" applyNumberFormat="1" applyFont="1" applyBorder="1" applyAlignment="1">
      <alignment horizontal="center"/>
    </xf>
    <xf numFmtId="167" fontId="0" fillId="0" borderId="0" xfId="0" applyNumberFormat="1"/>
    <xf numFmtId="1" fontId="2" fillId="0" borderId="0" xfId="0" quotePrefix="1" applyNumberFormat="1" applyFont="1" applyBorder="1" applyAlignment="1">
      <alignment horizontal="center"/>
    </xf>
    <xf numFmtId="2" fontId="2" fillId="0" borderId="0" xfId="0" quotePrefix="1" applyNumberFormat="1" applyFont="1" applyBorder="1" applyAlignment="1">
      <alignment horizontal="center"/>
    </xf>
    <xf numFmtId="2" fontId="2" fillId="0" borderId="0" xfId="0" applyNumberFormat="1" applyFont="1"/>
    <xf numFmtId="1" fontId="56" fillId="0" borderId="0" xfId="0" applyNumberFormat="1" applyFont="1"/>
    <xf numFmtId="0" fontId="55" fillId="0" borderId="0" xfId="1" applyFont="1" applyAlignment="1" applyProtection="1">
      <alignment horizontal="center"/>
    </xf>
    <xf numFmtId="0" fontId="18" fillId="0" borderId="0" xfId="0" applyFont="1" applyAlignment="1">
      <alignment horizontal="center"/>
    </xf>
    <xf numFmtId="10" fontId="21" fillId="0" borderId="0" xfId="0" applyNumberFormat="1" applyFont="1"/>
    <xf numFmtId="2" fontId="56" fillId="0" borderId="0" xfId="0" applyNumberFormat="1" applyFont="1"/>
    <xf numFmtId="9" fontId="56" fillId="0" borderId="0" xfId="0" applyNumberFormat="1" applyFont="1"/>
    <xf numFmtId="49" fontId="18" fillId="0" borderId="0" xfId="0" applyNumberFormat="1" applyFont="1"/>
    <xf numFmtId="2" fontId="2" fillId="0" borderId="0" xfId="0" applyNumberFormat="1" applyFont="1" applyBorder="1" applyAlignment="1">
      <alignment horizontal="center"/>
    </xf>
    <xf numFmtId="49" fontId="45" fillId="0" borderId="0" xfId="0" applyNumberFormat="1" applyFont="1"/>
    <xf numFmtId="49" fontId="18" fillId="0" borderId="0" xfId="0" applyNumberFormat="1" applyFont="1" applyAlignment="1">
      <alignment horizontal="center"/>
    </xf>
    <xf numFmtId="49" fontId="45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  <xf numFmtId="0" fontId="32" fillId="7" borderId="0" xfId="1" applyFont="1" applyFill="1" applyAlignment="1" applyProtection="1">
      <alignment horizontal="center"/>
    </xf>
    <xf numFmtId="165" fontId="32" fillId="7" borderId="0" xfId="1" applyNumberFormat="1" applyFont="1" applyFill="1" applyAlignment="1" applyProtection="1"/>
    <xf numFmtId="2" fontId="32" fillId="7" borderId="0" xfId="1" applyNumberFormat="1" applyFont="1" applyFill="1" applyAlignment="1" applyProtection="1"/>
    <xf numFmtId="0" fontId="18" fillId="0" borderId="2" xfId="0" applyFont="1" applyBorder="1" applyAlignment="1">
      <alignment horizontal="center"/>
    </xf>
    <xf numFmtId="164" fontId="2" fillId="0" borderId="1" xfId="0" applyNumberFormat="1" applyFont="1" applyBorder="1"/>
    <xf numFmtId="2" fontId="2" fillId="0" borderId="1" xfId="0" applyNumberFormat="1" applyFont="1" applyBorder="1"/>
    <xf numFmtId="165" fontId="2" fillId="0" borderId="1" xfId="0" applyNumberFormat="1" applyFont="1" applyBorder="1"/>
    <xf numFmtId="0" fontId="2" fillId="0" borderId="1" xfId="0" applyFont="1" applyBorder="1"/>
    <xf numFmtId="0" fontId="29" fillId="0" borderId="1" xfId="0" applyFont="1" applyBorder="1" applyAlignment="1">
      <alignment horizontal="center"/>
    </xf>
    <xf numFmtId="0" fontId="18" fillId="0" borderId="9" xfId="0" applyFont="1" applyBorder="1"/>
    <xf numFmtId="1" fontId="0" fillId="0" borderId="9" xfId="0" applyNumberFormat="1" applyBorder="1"/>
    <xf numFmtId="1" fontId="0" fillId="0" borderId="5" xfId="0" applyNumberFormat="1" applyBorder="1"/>
    <xf numFmtId="3" fontId="0" fillId="0" borderId="0" xfId="0" applyNumberFormat="1" applyBorder="1" applyAlignment="1"/>
    <xf numFmtId="3" fontId="0" fillId="0" borderId="9" xfId="0" applyNumberFormat="1" applyBorder="1" applyAlignment="1"/>
    <xf numFmtId="0" fontId="21" fillId="0" borderId="0" xfId="0" applyFont="1" applyAlignment="1">
      <alignment horizontal="right"/>
    </xf>
    <xf numFmtId="0" fontId="21" fillId="0" borderId="7" xfId="0" applyFont="1" applyBorder="1" applyAlignment="1">
      <alignment horizontal="right"/>
    </xf>
    <xf numFmtId="0" fontId="21" fillId="0" borderId="0" xfId="0" applyFont="1" applyBorder="1" applyAlignment="1">
      <alignment horizontal="right"/>
    </xf>
    <xf numFmtId="0" fontId="21" fillId="0" borderId="6" xfId="0" applyFont="1" applyBorder="1" applyAlignment="1">
      <alignment horizontal="right"/>
    </xf>
    <xf numFmtId="3" fontId="21" fillId="0" borderId="0" xfId="0" applyNumberFormat="1" applyFont="1"/>
    <xf numFmtId="0" fontId="21" fillId="0" borderId="3" xfId="0" applyFont="1" applyBorder="1" applyAlignment="1">
      <alignment horizontal="right"/>
    </xf>
    <xf numFmtId="0" fontId="2" fillId="23" borderId="10" xfId="0" applyFont="1" applyFill="1" applyBorder="1"/>
    <xf numFmtId="0" fontId="21" fillId="0" borderId="3" xfId="0" applyFont="1" applyFill="1" applyBorder="1"/>
    <xf numFmtId="3" fontId="21" fillId="0" borderId="9" xfId="0" applyNumberFormat="1" applyFont="1" applyBorder="1"/>
    <xf numFmtId="0" fontId="21" fillId="0" borderId="0" xfId="0" applyFont="1" applyBorder="1"/>
    <xf numFmtId="3" fontId="21" fillId="0" borderId="0" xfId="0" applyNumberFormat="1" applyFont="1" applyBorder="1"/>
    <xf numFmtId="2" fontId="3" fillId="0" borderId="5" xfId="0" applyNumberFormat="1" applyFont="1" applyBorder="1"/>
    <xf numFmtId="4" fontId="2" fillId="0" borderId="0" xfId="0" applyNumberFormat="1" applyFont="1" applyBorder="1"/>
    <xf numFmtId="3" fontId="2" fillId="0" borderId="9" xfId="0" applyNumberFormat="1" applyFont="1" applyBorder="1"/>
    <xf numFmtId="0" fontId="2" fillId="0" borderId="6" xfId="0" applyFont="1" applyBorder="1"/>
    <xf numFmtId="3" fontId="2" fillId="0" borderId="7" xfId="0" applyNumberFormat="1" applyFont="1" applyBorder="1"/>
    <xf numFmtId="3" fontId="2" fillId="0" borderId="8" xfId="0" applyNumberFormat="1" applyFont="1" applyBorder="1"/>
    <xf numFmtId="0" fontId="18" fillId="0" borderId="9" xfId="0" applyFont="1" applyFill="1" applyBorder="1"/>
    <xf numFmtId="0" fontId="2" fillId="23" borderId="11" xfId="0" applyFont="1" applyFill="1" applyBorder="1" applyAlignment="1">
      <alignment horizontal="center"/>
    </xf>
    <xf numFmtId="0" fontId="2" fillId="23" borderId="12" xfId="0" applyFont="1" applyFill="1" applyBorder="1" applyAlignment="1">
      <alignment horizontal="center"/>
    </xf>
    <xf numFmtId="165" fontId="0" fillId="0" borderId="3" xfId="0" applyNumberFormat="1" applyBorder="1"/>
    <xf numFmtId="10" fontId="0" fillId="0" borderId="9" xfId="0" applyNumberFormat="1" applyBorder="1"/>
    <xf numFmtId="164" fontId="58" fillId="28" borderId="15" xfId="3" applyNumberFormat="1"/>
    <xf numFmtId="165" fontId="58" fillId="28" borderId="17" xfId="3" applyNumberFormat="1" applyBorder="1"/>
    <xf numFmtId="0" fontId="58" fillId="28" borderId="15" xfId="3" applyBorder="1" applyAlignment="1">
      <alignment horizontal="center"/>
    </xf>
    <xf numFmtId="10" fontId="59" fillId="29" borderId="18" xfId="4" applyNumberFormat="1" applyBorder="1"/>
    <xf numFmtId="165" fontId="43" fillId="0" borderId="0" xfId="0" applyNumberFormat="1" applyFont="1"/>
    <xf numFmtId="0" fontId="0" fillId="0" borderId="7" xfId="0" applyBorder="1"/>
    <xf numFmtId="0" fontId="0" fillId="0" borderId="8" xfId="0" applyBorder="1"/>
    <xf numFmtId="2" fontId="2" fillId="0" borderId="19" xfId="0" applyNumberFormat="1" applyFont="1" applyBorder="1"/>
    <xf numFmtId="0" fontId="21" fillId="30" borderId="4" xfId="0" applyFont="1" applyFill="1" applyBorder="1"/>
    <xf numFmtId="0" fontId="21" fillId="30" borderId="2" xfId="0" applyFont="1" applyFill="1" applyBorder="1"/>
    <xf numFmtId="49" fontId="21" fillId="30" borderId="5" xfId="0" applyNumberFormat="1" applyFont="1" applyFill="1" applyBorder="1" applyAlignment="1">
      <alignment horizontal="right"/>
    </xf>
    <xf numFmtId="1" fontId="0" fillId="0" borderId="6" xfId="0" applyNumberFormat="1" applyBorder="1"/>
    <xf numFmtId="164" fontId="0" fillId="0" borderId="7" xfId="0" applyNumberFormat="1" applyBorder="1"/>
    <xf numFmtId="1" fontId="0" fillId="0" borderId="7" xfId="0" applyNumberFormat="1" applyBorder="1"/>
    <xf numFmtId="165" fontId="61" fillId="0" borderId="0" xfId="0" applyNumberFormat="1" applyFont="1" applyBorder="1" applyAlignment="1">
      <alignment horizontal="right"/>
    </xf>
    <xf numFmtId="164" fontId="61" fillId="0" borderId="7" xfId="0" applyNumberFormat="1" applyFont="1" applyBorder="1" applyAlignment="1">
      <alignment horizontal="right"/>
    </xf>
    <xf numFmtId="165" fontId="61" fillId="0" borderId="2" xfId="0" applyNumberFormat="1" applyFont="1" applyBorder="1" applyAlignment="1">
      <alignment horizontal="right"/>
    </xf>
    <xf numFmtId="164" fontId="60" fillId="0" borderId="0" xfId="0" applyNumberFormat="1" applyFont="1" applyBorder="1" applyAlignment="1">
      <alignment horizontal="right"/>
    </xf>
    <xf numFmtId="165" fontId="60" fillId="0" borderId="7" xfId="0" applyNumberFormat="1" applyFont="1" applyBorder="1" applyAlignment="1">
      <alignment horizontal="right"/>
    </xf>
    <xf numFmtId="164" fontId="60" fillId="0" borderId="2" xfId="0" applyNumberFormat="1" applyFont="1" applyBorder="1" applyAlignment="1">
      <alignment horizontal="right"/>
    </xf>
    <xf numFmtId="1" fontId="2" fillId="0" borderId="0" xfId="0" applyNumberFormat="1" applyFont="1" applyBorder="1" applyAlignment="1">
      <alignment horizontal="left"/>
    </xf>
    <xf numFmtId="1" fontId="2" fillId="0" borderId="9" xfId="0" applyNumberFormat="1" applyFont="1" applyBorder="1" applyAlignment="1">
      <alignment horizontal="left"/>
    </xf>
    <xf numFmtId="0" fontId="18" fillId="30" borderId="4" xfId="0" applyFont="1" applyFill="1" applyBorder="1"/>
    <xf numFmtId="0" fontId="0" fillId="30" borderId="2" xfId="0" applyFill="1" applyBorder="1"/>
    <xf numFmtId="0" fontId="18" fillId="30" borderId="2" xfId="0" applyFont="1" applyFill="1" applyBorder="1"/>
    <xf numFmtId="165" fontId="2" fillId="30" borderId="2" xfId="0" applyNumberFormat="1" applyFont="1" applyFill="1" applyBorder="1"/>
    <xf numFmtId="0" fontId="18" fillId="30" borderId="5" xfId="0" applyFont="1" applyFill="1" applyBorder="1"/>
    <xf numFmtId="164" fontId="0" fillId="0" borderId="20" xfId="0" applyNumberFormat="1" applyBorder="1"/>
    <xf numFmtId="164" fontId="2" fillId="0" borderId="19" xfId="0" applyNumberFormat="1" applyFont="1" applyBorder="1"/>
    <xf numFmtId="0" fontId="62" fillId="7" borderId="0" xfId="1" applyFont="1" applyFill="1" applyAlignment="1" applyProtection="1"/>
    <xf numFmtId="1" fontId="0" fillId="0" borderId="20" xfId="0" applyNumberFormat="1" applyBorder="1"/>
    <xf numFmtId="1" fontId="2" fillId="0" borderId="19" xfId="0" applyNumberFormat="1" applyFont="1" applyBorder="1"/>
    <xf numFmtId="0" fontId="31" fillId="22" borderId="13" xfId="0" applyFont="1" applyFill="1" applyBorder="1" applyAlignment="1">
      <alignment horizontal="center"/>
    </xf>
    <xf numFmtId="1" fontId="63" fillId="0" borderId="0" xfId="0" applyNumberFormat="1" applyFont="1"/>
    <xf numFmtId="1" fontId="64" fillId="0" borderId="0" xfId="0" applyNumberFormat="1" applyFont="1"/>
    <xf numFmtId="49" fontId="21" fillId="0" borderId="6" xfId="0" applyNumberFormat="1" applyFont="1" applyBorder="1"/>
    <xf numFmtId="2" fontId="0" fillId="0" borderId="20" xfId="0" applyNumberFormat="1" applyBorder="1"/>
    <xf numFmtId="164" fontId="65" fillId="29" borderId="0" xfId="4" applyNumberFormat="1" applyFont="1" applyBorder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0" fontId="0" fillId="0" borderId="2" xfId="0" applyFill="1" applyBorder="1"/>
    <xf numFmtId="0" fontId="18" fillId="0" borderId="3" xfId="0" applyNumberFormat="1" applyFont="1" applyFill="1" applyBorder="1"/>
    <xf numFmtId="166" fontId="2" fillId="0" borderId="3" xfId="0" applyNumberFormat="1" applyFont="1" applyFill="1" applyBorder="1"/>
    <xf numFmtId="14" fontId="0" fillId="0" borderId="20" xfId="0" applyNumberFormat="1" applyBorder="1"/>
    <xf numFmtId="14" fontId="0" fillId="0" borderId="14" xfId="0" applyNumberFormat="1" applyBorder="1"/>
    <xf numFmtId="0" fontId="2" fillId="6" borderId="0" xfId="0" applyFont="1" applyFill="1" applyBorder="1" applyAlignment="1">
      <alignment horizontal="left"/>
    </xf>
    <xf numFmtId="0" fontId="2" fillId="6" borderId="0" xfId="0" applyFont="1" applyFill="1" applyBorder="1" applyAlignment="1">
      <alignment horizontal="right"/>
    </xf>
    <xf numFmtId="1" fontId="2" fillId="21" borderId="0" xfId="0" applyNumberFormat="1" applyFont="1" applyFill="1" applyBorder="1" applyAlignment="1">
      <alignment horizontal="right"/>
    </xf>
    <xf numFmtId="0" fontId="2" fillId="23" borderId="14" xfId="0" applyFont="1" applyFill="1" applyBorder="1" applyAlignment="1">
      <alignment horizontal="center"/>
    </xf>
    <xf numFmtId="4" fontId="2" fillId="0" borderId="0" xfId="0" applyNumberFormat="1" applyFont="1"/>
    <xf numFmtId="0" fontId="2" fillId="23" borderId="11" xfId="0" applyFont="1" applyFill="1" applyBorder="1" applyAlignment="1">
      <alignment horizontal="center"/>
    </xf>
    <xf numFmtId="0" fontId="2" fillId="23" borderId="12" xfId="0" applyFont="1" applyFill="1" applyBorder="1" applyAlignment="1">
      <alignment horizontal="center"/>
    </xf>
    <xf numFmtId="0" fontId="2" fillId="23" borderId="12" xfId="0" applyFont="1" applyFill="1" applyBorder="1"/>
    <xf numFmtId="164" fontId="60" fillId="0" borderId="3" xfId="0" applyNumberFormat="1" applyFont="1" applyBorder="1" applyAlignment="1">
      <alignment horizontal="right"/>
    </xf>
    <xf numFmtId="164" fontId="60" fillId="0" borderId="4" xfId="0" applyNumberFormat="1" applyFont="1" applyBorder="1" applyAlignment="1">
      <alignment horizontal="right"/>
    </xf>
    <xf numFmtId="1" fontId="0" fillId="0" borderId="0" xfId="0" applyNumberFormat="1" applyBorder="1" applyAlignment="1">
      <alignment horizontal="right"/>
    </xf>
    <xf numFmtId="164" fontId="18" fillId="0" borderId="0" xfId="0" applyNumberFormat="1" applyFont="1"/>
    <xf numFmtId="10" fontId="18" fillId="0" borderId="0" xfId="0" applyNumberFormat="1" applyFont="1"/>
    <xf numFmtId="2" fontId="0" fillId="0" borderId="25" xfId="0" applyNumberFormat="1" applyBorder="1"/>
    <xf numFmtId="1" fontId="0" fillId="0" borderId="26" xfId="0" applyNumberFormat="1" applyBorder="1"/>
    <xf numFmtId="1" fontId="0" fillId="0" borderId="26" xfId="0" applyNumberFormat="1" applyFill="1" applyBorder="1"/>
    <xf numFmtId="0" fontId="2" fillId="23" borderId="11" xfId="0" applyFont="1" applyFill="1" applyBorder="1"/>
    <xf numFmtId="49" fontId="21" fillId="0" borderId="7" xfId="0" applyNumberFormat="1" applyFont="1" applyBorder="1"/>
    <xf numFmtId="49" fontId="21" fillId="0" borderId="8" xfId="0" applyNumberFormat="1" applyFont="1" applyBorder="1"/>
    <xf numFmtId="49" fontId="21" fillId="0" borderId="8" xfId="0" applyNumberFormat="1" applyFont="1" applyFill="1" applyBorder="1"/>
    <xf numFmtId="0" fontId="21" fillId="0" borderId="4" xfId="0" applyFont="1" applyBorder="1"/>
    <xf numFmtId="49" fontId="2" fillId="0" borderId="13" xfId="0" applyNumberFormat="1" applyFont="1" applyBorder="1" applyAlignment="1">
      <alignment horizontal="center"/>
    </xf>
    <xf numFmtId="49" fontId="2" fillId="0" borderId="24" xfId="0" applyNumberFormat="1" applyFont="1" applyFill="1" applyBorder="1" applyAlignment="1">
      <alignment horizontal="center"/>
    </xf>
    <xf numFmtId="49" fontId="21" fillId="0" borderId="4" xfId="0" applyNumberFormat="1" applyFont="1" applyBorder="1"/>
    <xf numFmtId="1" fontId="2" fillId="0" borderId="2" xfId="0" applyNumberFormat="1" applyFont="1" applyBorder="1"/>
    <xf numFmtId="49" fontId="18" fillId="0" borderId="4" xfId="0" applyNumberFormat="1" applyFont="1" applyBorder="1"/>
    <xf numFmtId="49" fontId="18" fillId="0" borderId="5" xfId="0" applyNumberFormat="1" applyFont="1" applyBorder="1"/>
    <xf numFmtId="0" fontId="2" fillId="23" borderId="4" xfId="0" applyFont="1" applyFill="1" applyBorder="1"/>
    <xf numFmtId="0" fontId="2" fillId="23" borderId="5" xfId="0" applyFont="1" applyFill="1" applyBorder="1"/>
    <xf numFmtId="0" fontId="2" fillId="23" borderId="11" xfId="0" applyFont="1" applyFill="1" applyBorder="1" applyAlignment="1">
      <alignment horizontal="center"/>
    </xf>
    <xf numFmtId="0" fontId="2" fillId="23" borderId="12" xfId="0" applyFont="1" applyFill="1" applyBorder="1" applyAlignment="1">
      <alignment horizontal="center"/>
    </xf>
    <xf numFmtId="0" fontId="2" fillId="23" borderId="10" xfId="0" applyFont="1" applyFill="1" applyBorder="1" applyAlignment="1">
      <alignment horizontal="left"/>
    </xf>
    <xf numFmtId="3" fontId="0" fillId="0" borderId="3" xfId="0" applyNumberFormat="1" applyBorder="1"/>
    <xf numFmtId="9" fontId="0" fillId="0" borderId="4" xfId="0" applyNumberFormat="1" applyBorder="1"/>
    <xf numFmtId="9" fontId="0" fillId="0" borderId="5" xfId="0" applyNumberFormat="1" applyBorder="1"/>
    <xf numFmtId="0" fontId="18" fillId="0" borderId="3" xfId="0" applyFont="1" applyBorder="1" applyAlignment="1">
      <alignment horizontal="right"/>
    </xf>
    <xf numFmtId="0" fontId="18" fillId="0" borderId="9" xfId="0" applyFont="1" applyBorder="1" applyAlignment="1">
      <alignment horizontal="right"/>
    </xf>
    <xf numFmtId="0" fontId="0" fillId="0" borderId="4" xfId="0" applyBorder="1"/>
    <xf numFmtId="2" fontId="0" fillId="0" borderId="3" xfId="0" applyNumberFormat="1" applyBorder="1" applyAlignment="1">
      <alignment horizontal="right"/>
    </xf>
    <xf numFmtId="1" fontId="0" fillId="0" borderId="9" xfId="0" applyNumberFormat="1" applyBorder="1" applyAlignment="1">
      <alignment horizontal="right"/>
    </xf>
    <xf numFmtId="165" fontId="0" fillId="0" borderId="9" xfId="0" applyNumberFormat="1" applyBorder="1"/>
    <xf numFmtId="1" fontId="0" fillId="0" borderId="4" xfId="0" applyNumberFormat="1" applyBorder="1"/>
    <xf numFmtId="165" fontId="0" fillId="0" borderId="5" xfId="0" applyNumberFormat="1" applyBorder="1"/>
    <xf numFmtId="3" fontId="0" fillId="0" borderId="4" xfId="0" applyNumberFormat="1" applyBorder="1"/>
    <xf numFmtId="49" fontId="18" fillId="0" borderId="0" xfId="0" applyNumberFormat="1" applyFont="1" applyBorder="1"/>
    <xf numFmtId="1" fontId="2" fillId="0" borderId="0" xfId="0" applyNumberFormat="1" applyFont="1" applyBorder="1"/>
    <xf numFmtId="0" fontId="2" fillId="34" borderId="0" xfId="0" applyNumberFormat="1" applyFont="1" applyFill="1" applyBorder="1" applyAlignment="1">
      <alignment horizontal="center"/>
    </xf>
    <xf numFmtId="2" fontId="2" fillId="35" borderId="0" xfId="0" applyNumberFormat="1" applyFont="1" applyFill="1" applyBorder="1" applyAlignment="1">
      <alignment horizontal="center"/>
    </xf>
    <xf numFmtId="0" fontId="2" fillId="36" borderId="0" xfId="0" applyNumberFormat="1" applyFont="1" applyFill="1" applyBorder="1" applyAlignment="1">
      <alignment horizontal="center"/>
    </xf>
    <xf numFmtId="0" fontId="2" fillId="37" borderId="0" xfId="0" applyNumberFormat="1" applyFont="1" applyFill="1" applyBorder="1" applyAlignment="1">
      <alignment horizontal="center"/>
    </xf>
    <xf numFmtId="49" fontId="71" fillId="0" borderId="0" xfId="1" applyNumberFormat="1" applyFont="1" applyAlignment="1" applyProtection="1">
      <alignment horizontal="center"/>
    </xf>
    <xf numFmtId="1" fontId="72" fillId="0" borderId="0" xfId="0" applyNumberFormat="1" applyFont="1"/>
    <xf numFmtId="2" fontId="72" fillId="0" borderId="0" xfId="0" applyNumberFormat="1" applyFont="1"/>
    <xf numFmtId="9" fontId="72" fillId="0" borderId="0" xfId="0" applyNumberFormat="1" applyFont="1"/>
    <xf numFmtId="0" fontId="58" fillId="28" borderId="15" xfId="3"/>
    <xf numFmtId="0" fontId="2" fillId="23" borderId="11" xfId="0" applyFont="1" applyFill="1" applyBorder="1" applyAlignment="1">
      <alignment horizontal="center"/>
    </xf>
    <xf numFmtId="0" fontId="2" fillId="23" borderId="12" xfId="0" applyFont="1" applyFill="1" applyBorder="1" applyAlignment="1">
      <alignment horizontal="center"/>
    </xf>
    <xf numFmtId="1" fontId="74" fillId="0" borderId="0" xfId="0" applyNumberFormat="1" applyFont="1"/>
    <xf numFmtId="2" fontId="73" fillId="0" borderId="0" xfId="0" applyNumberFormat="1" applyFont="1"/>
    <xf numFmtId="0" fontId="2" fillId="23" borderId="11" xfId="0" applyFont="1" applyFill="1" applyBorder="1" applyAlignment="1">
      <alignment horizontal="center"/>
    </xf>
    <xf numFmtId="0" fontId="2" fillId="23" borderId="12" xfId="0" applyFont="1" applyFill="1" applyBorder="1" applyAlignment="1">
      <alignment horizontal="center"/>
    </xf>
    <xf numFmtId="14" fontId="0" fillId="0" borderId="0" xfId="0" applyNumberFormat="1" applyBorder="1"/>
    <xf numFmtId="2" fontId="58" fillId="28" borderId="27" xfId="3" applyNumberFormat="1" applyBorder="1"/>
    <xf numFmtId="2" fontId="59" fillId="29" borderId="28" xfId="4" applyNumberFormat="1" applyBorder="1"/>
    <xf numFmtId="1" fontId="0" fillId="4" borderId="30" xfId="0" applyNumberFormat="1" applyFill="1" applyBorder="1"/>
    <xf numFmtId="1" fontId="0" fillId="5" borderId="30" xfId="0" applyNumberFormat="1" applyFill="1" applyBorder="1"/>
    <xf numFmtId="1" fontId="0" fillId="5" borderId="29" xfId="0" applyNumberFormat="1" applyFill="1" applyBorder="1"/>
    <xf numFmtId="0" fontId="0" fillId="0" borderId="0" xfId="0" applyFont="1"/>
    <xf numFmtId="0" fontId="21" fillId="0" borderId="3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10" fontId="0" fillId="0" borderId="5" xfId="0" applyNumberFormat="1" applyBorder="1"/>
    <xf numFmtId="14" fontId="0" fillId="0" borderId="0" xfId="0" applyNumberFormat="1"/>
    <xf numFmtId="0" fontId="2" fillId="3" borderId="0" xfId="0" applyFont="1" applyFill="1" applyAlignment="1">
      <alignment horizontal="center"/>
    </xf>
    <xf numFmtId="0" fontId="29" fillId="12" borderId="0" xfId="0" applyFont="1" applyFill="1" applyAlignment="1">
      <alignment horizontal="center"/>
    </xf>
    <xf numFmtId="0" fontId="27" fillId="14" borderId="0" xfId="0" applyFont="1" applyFill="1" applyAlignment="1">
      <alignment horizontal="center"/>
    </xf>
    <xf numFmtId="3" fontId="27" fillId="14" borderId="0" xfId="0" applyNumberFormat="1" applyFont="1" applyFill="1" applyAlignment="1">
      <alignment horizontal="center"/>
    </xf>
    <xf numFmtId="0" fontId="35" fillId="4" borderId="0" xfId="0" applyFont="1" applyFill="1" applyAlignment="1">
      <alignment horizontal="center"/>
    </xf>
    <xf numFmtId="3" fontId="35" fillId="4" borderId="0" xfId="0" applyNumberFormat="1" applyFont="1" applyFill="1" applyAlignment="1">
      <alignment horizontal="center"/>
    </xf>
    <xf numFmtId="0" fontId="35" fillId="5" borderId="0" xfId="0" applyFont="1" applyFill="1" applyAlignment="1">
      <alignment horizontal="center"/>
    </xf>
    <xf numFmtId="0" fontId="22" fillId="0" borderId="6" xfId="0" applyFont="1" applyBorder="1" applyAlignment="1">
      <alignment horizontal="left"/>
    </xf>
    <xf numFmtId="0" fontId="22" fillId="0" borderId="7" xfId="0" applyFont="1" applyBorder="1" applyAlignment="1">
      <alignment horizontal="left"/>
    </xf>
    <xf numFmtId="3" fontId="35" fillId="5" borderId="0" xfId="0" applyNumberFormat="1" applyFont="1" applyFill="1" applyAlignment="1">
      <alignment horizontal="center"/>
    </xf>
    <xf numFmtId="0" fontId="27" fillId="9" borderId="0" xfId="0" applyFont="1" applyFill="1" applyAlignment="1">
      <alignment horizontal="center"/>
    </xf>
    <xf numFmtId="165" fontId="27" fillId="9" borderId="0" xfId="0" applyNumberFormat="1" applyFont="1" applyFill="1" applyAlignment="1">
      <alignment horizontal="left"/>
    </xf>
    <xf numFmtId="0" fontId="27" fillId="10" borderId="0" xfId="0" applyFont="1" applyFill="1" applyAlignment="1">
      <alignment horizontal="center"/>
    </xf>
    <xf numFmtId="3" fontId="27" fillId="10" borderId="0" xfId="0" applyNumberFormat="1" applyFont="1" applyFill="1" applyAlignment="1">
      <alignment horizontal="center"/>
    </xf>
    <xf numFmtId="0" fontId="27" fillId="12" borderId="0" xfId="0" applyFont="1" applyFill="1" applyAlignment="1">
      <alignment horizontal="center"/>
    </xf>
    <xf numFmtId="165" fontId="27" fillId="12" borderId="0" xfId="0" applyNumberFormat="1" applyFont="1" applyFill="1" applyAlignment="1">
      <alignment horizontal="center"/>
    </xf>
    <xf numFmtId="3" fontId="27" fillId="11" borderId="0" xfId="0" applyNumberFormat="1" applyFont="1" applyFill="1" applyAlignment="1">
      <alignment horizontal="center"/>
    </xf>
    <xf numFmtId="0" fontId="27" fillId="11" borderId="0" xfId="0" applyFont="1" applyFill="1" applyAlignment="1">
      <alignment horizontal="center"/>
    </xf>
    <xf numFmtId="0" fontId="26" fillId="25" borderId="0" xfId="0" applyFont="1" applyFill="1" applyAlignment="1">
      <alignment horizontal="center"/>
    </xf>
    <xf numFmtId="0" fontId="27" fillId="15" borderId="0" xfId="0" applyFont="1" applyFill="1" applyAlignment="1">
      <alignment horizontal="center"/>
    </xf>
    <xf numFmtId="165" fontId="27" fillId="15" borderId="0" xfId="0" applyNumberFormat="1" applyFont="1" applyFill="1" applyAlignment="1">
      <alignment horizontal="center"/>
    </xf>
    <xf numFmtId="0" fontId="27" fillId="15" borderId="0" xfId="0" applyFont="1" applyFill="1" applyAlignment="1">
      <alignment horizontal="right"/>
    </xf>
    <xf numFmtId="168" fontId="27" fillId="9" borderId="0" xfId="0" applyNumberFormat="1" applyFont="1" applyFill="1" applyAlignment="1">
      <alignment horizontal="left"/>
    </xf>
    <xf numFmtId="3" fontId="27" fillId="19" borderId="0" xfId="0" applyNumberFormat="1" applyFont="1" applyFill="1" applyAlignment="1">
      <alignment horizontal="left"/>
    </xf>
    <xf numFmtId="3" fontId="35" fillId="16" borderId="0" xfId="0" applyNumberFormat="1" applyFont="1" applyFill="1" applyAlignment="1">
      <alignment horizontal="left"/>
    </xf>
    <xf numFmtId="3" fontId="27" fillId="4" borderId="0" xfId="0" applyNumberFormat="1" applyFont="1" applyFill="1" applyAlignment="1">
      <alignment horizontal="left"/>
    </xf>
    <xf numFmtId="0" fontId="27" fillId="9" borderId="0" xfId="0" applyFont="1" applyFill="1" applyAlignment="1">
      <alignment horizontal="right"/>
    </xf>
    <xf numFmtId="0" fontId="27" fillId="12" borderId="0" xfId="0" applyFont="1" applyFill="1" applyAlignment="1">
      <alignment horizontal="right"/>
    </xf>
    <xf numFmtId="168" fontId="27" fillId="12" borderId="0" xfId="0" applyNumberFormat="1" applyFont="1" applyFill="1" applyAlignment="1">
      <alignment horizontal="left"/>
    </xf>
    <xf numFmtId="3" fontId="27" fillId="5" borderId="0" xfId="0" applyNumberFormat="1" applyFont="1" applyFill="1" applyAlignment="1">
      <alignment horizontal="right"/>
    </xf>
    <xf numFmtId="167" fontId="27" fillId="5" borderId="0" xfId="0" applyNumberFormat="1" applyFont="1" applyFill="1" applyAlignment="1">
      <alignment horizontal="left"/>
    </xf>
    <xf numFmtId="3" fontId="35" fillId="18" borderId="0" xfId="0" applyNumberFormat="1" applyFont="1" applyFill="1" applyAlignment="1">
      <alignment horizontal="left"/>
    </xf>
    <xf numFmtId="3" fontId="35" fillId="18" borderId="9" xfId="0" applyNumberFormat="1" applyFont="1" applyFill="1" applyBorder="1" applyAlignment="1">
      <alignment horizontal="left"/>
    </xf>
    <xf numFmtId="0" fontId="27" fillId="14" borderId="0" xfId="0" applyFont="1" applyFill="1" applyAlignment="1">
      <alignment horizontal="right"/>
    </xf>
    <xf numFmtId="165" fontId="27" fillId="17" borderId="0" xfId="0" applyNumberFormat="1" applyFont="1" applyFill="1" applyAlignment="1">
      <alignment horizontal="left"/>
    </xf>
    <xf numFmtId="0" fontId="26" fillId="20" borderId="0" xfId="0" applyFont="1" applyFill="1" applyAlignment="1">
      <alignment horizontal="center"/>
    </xf>
    <xf numFmtId="3" fontId="27" fillId="14" borderId="0" xfId="0" applyNumberFormat="1" applyFont="1" applyFill="1" applyAlignment="1">
      <alignment horizontal="left"/>
    </xf>
    <xf numFmtId="3" fontId="27" fillId="11" borderId="0" xfId="0" applyNumberFormat="1" applyFont="1" applyFill="1" applyAlignment="1">
      <alignment horizontal="right"/>
    </xf>
    <xf numFmtId="3" fontId="27" fillId="11" borderId="0" xfId="0" applyNumberFormat="1" applyFont="1" applyFill="1" applyAlignment="1">
      <alignment horizontal="left"/>
    </xf>
    <xf numFmtId="3" fontId="27" fillId="10" borderId="0" xfId="0" applyNumberFormat="1" applyFont="1" applyFill="1" applyAlignment="1">
      <alignment horizontal="left"/>
    </xf>
    <xf numFmtId="0" fontId="27" fillId="10" borderId="0" xfId="0" applyFont="1" applyFill="1" applyAlignment="1">
      <alignment horizontal="right"/>
    </xf>
    <xf numFmtId="0" fontId="26" fillId="24" borderId="0" xfId="0" applyFont="1" applyFill="1" applyAlignment="1">
      <alignment horizontal="center"/>
    </xf>
    <xf numFmtId="0" fontId="26" fillId="26" borderId="0" xfId="0" applyFont="1" applyFill="1" applyAlignment="1">
      <alignment horizontal="center"/>
    </xf>
    <xf numFmtId="0" fontId="26" fillId="27" borderId="0" xfId="0" applyFont="1" applyFill="1" applyAlignment="1">
      <alignment horizontal="center"/>
    </xf>
    <xf numFmtId="0" fontId="26" fillId="31" borderId="0" xfId="0" applyFont="1" applyFill="1" applyAlignment="1">
      <alignment horizontal="center"/>
    </xf>
    <xf numFmtId="0" fontId="26" fillId="32" borderId="0" xfId="0" applyFont="1" applyFill="1" applyAlignment="1">
      <alignment horizontal="center"/>
    </xf>
    <xf numFmtId="0" fontId="69" fillId="33" borderId="0" xfId="0" applyFont="1" applyFill="1" applyAlignment="1">
      <alignment horizontal="center"/>
    </xf>
    <xf numFmtId="0" fontId="69" fillId="38" borderId="0" xfId="0" applyFont="1" applyFill="1" applyAlignment="1">
      <alignment horizontal="center"/>
    </xf>
    <xf numFmtId="0" fontId="75" fillId="39" borderId="0" xfId="0" applyFont="1" applyFill="1" applyAlignment="1">
      <alignment horizontal="center"/>
    </xf>
    <xf numFmtId="0" fontId="75" fillId="40" borderId="0" xfId="0" applyFont="1" applyFill="1" applyAlignment="1">
      <alignment horizontal="center"/>
    </xf>
    <xf numFmtId="49" fontId="31" fillId="22" borderId="6" xfId="0" applyNumberFormat="1" applyFont="1" applyFill="1" applyBorder="1" applyAlignment="1">
      <alignment horizontal="center"/>
    </xf>
    <xf numFmtId="49" fontId="31" fillId="22" borderId="7" xfId="0" applyNumberFormat="1" applyFont="1" applyFill="1" applyBorder="1" applyAlignment="1">
      <alignment horizontal="center"/>
    </xf>
    <xf numFmtId="49" fontId="31" fillId="22" borderId="8" xfId="0" applyNumberFormat="1" applyFont="1" applyFill="1" applyBorder="1" applyAlignment="1">
      <alignment horizontal="center"/>
    </xf>
    <xf numFmtId="0" fontId="31" fillId="22" borderId="6" xfId="0" applyFont="1" applyFill="1" applyBorder="1" applyAlignment="1">
      <alignment horizontal="center"/>
    </xf>
    <xf numFmtId="0" fontId="31" fillId="22" borderId="8" xfId="0" applyFont="1" applyFill="1" applyBorder="1" applyAlignment="1">
      <alignment horizontal="center"/>
    </xf>
    <xf numFmtId="0" fontId="18" fillId="22" borderId="3" xfId="0" applyFont="1" applyFill="1" applyBorder="1" applyAlignment="1">
      <alignment horizontal="center"/>
    </xf>
    <xf numFmtId="0" fontId="18" fillId="22" borderId="9" xfId="0" applyFont="1" applyFill="1" applyBorder="1" applyAlignment="1">
      <alignment horizontal="center"/>
    </xf>
    <xf numFmtId="49" fontId="31" fillId="23" borderId="0" xfId="0" applyNumberFormat="1" applyFont="1" applyFill="1" applyAlignment="1">
      <alignment horizontal="center"/>
    </xf>
    <xf numFmtId="0" fontId="0" fillId="30" borderId="4" xfId="0" applyFill="1" applyBorder="1" applyAlignment="1">
      <alignment horizontal="center"/>
    </xf>
    <xf numFmtId="0" fontId="0" fillId="30" borderId="2" xfId="0" applyFill="1" applyBorder="1" applyAlignment="1">
      <alignment horizontal="center"/>
    </xf>
    <xf numFmtId="0" fontId="0" fillId="30" borderId="5" xfId="0" applyFill="1" applyBorder="1" applyAlignment="1">
      <alignment horizontal="center"/>
    </xf>
    <xf numFmtId="170" fontId="2" fillId="0" borderId="0" xfId="0" applyNumberFormat="1" applyFont="1" applyBorder="1" applyAlignment="1">
      <alignment horizontal="left"/>
    </xf>
    <xf numFmtId="0" fontId="21" fillId="0" borderId="4" xfId="0" applyFont="1" applyBorder="1" applyAlignment="1">
      <alignment horizontal="left"/>
    </xf>
    <xf numFmtId="0" fontId="21" fillId="0" borderId="2" xfId="0" applyFont="1" applyBorder="1" applyAlignment="1">
      <alignment horizontal="left"/>
    </xf>
    <xf numFmtId="0" fontId="2" fillId="23" borderId="10" xfId="0" applyFont="1" applyFill="1" applyBorder="1" applyAlignment="1">
      <alignment horizontal="left"/>
    </xf>
    <xf numFmtId="0" fontId="2" fillId="23" borderId="11" xfId="0" applyFont="1" applyFill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2" fillId="23" borderId="3" xfId="0" applyFont="1" applyFill="1" applyBorder="1" applyAlignment="1">
      <alignment horizontal="center"/>
    </xf>
    <xf numFmtId="0" fontId="2" fillId="23" borderId="0" xfId="0" applyFont="1" applyFill="1" applyBorder="1" applyAlignment="1">
      <alignment horizontal="center"/>
    </xf>
    <xf numFmtId="0" fontId="2" fillId="23" borderId="10" xfId="0" applyFont="1" applyFill="1" applyBorder="1" applyAlignment="1">
      <alignment horizontal="center"/>
    </xf>
    <xf numFmtId="0" fontId="2" fillId="23" borderId="11" xfId="0" applyFont="1" applyFill="1" applyBorder="1" applyAlignment="1">
      <alignment horizontal="center"/>
    </xf>
    <xf numFmtId="0" fontId="2" fillId="23" borderId="12" xfId="0" applyFont="1" applyFill="1" applyBorder="1" applyAlignment="1">
      <alignment horizontal="center"/>
    </xf>
    <xf numFmtId="0" fontId="2" fillId="23" borderId="6" xfId="0" applyFont="1" applyFill="1" applyBorder="1" applyAlignment="1">
      <alignment horizontal="center"/>
    </xf>
    <xf numFmtId="0" fontId="2" fillId="23" borderId="8" xfId="0" applyFont="1" applyFill="1" applyBorder="1" applyAlignment="1">
      <alignment horizontal="center"/>
    </xf>
    <xf numFmtId="0" fontId="21" fillId="0" borderId="6" xfId="0" applyFont="1" applyBorder="1" applyAlignment="1">
      <alignment horizontal="left"/>
    </xf>
    <xf numFmtId="0" fontId="21" fillId="0" borderId="7" xfId="0" applyFont="1" applyBorder="1" applyAlignment="1">
      <alignment horizontal="left"/>
    </xf>
  </cellXfs>
  <cellStyles count="5">
    <cellStyle name="Ausgabe" xfId="4" builtinId="21"/>
    <cellStyle name="Eingabe" xfId="3" builtinId="20"/>
    <cellStyle name="Hyperlink" xfId="1" builtinId="8"/>
    <cellStyle name="Standard" xfId="0" builtinId="0"/>
    <cellStyle name="Standard 2" xfId="2"/>
  </cellStyles>
  <dxfs count="178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ont>
        <b/>
        <i val="0"/>
      </font>
    </dxf>
    <dxf>
      <fill>
        <patternFill>
          <bgColor theme="3" tint="0.39994506668294322"/>
        </patternFill>
      </fill>
    </dxf>
    <dxf>
      <fill>
        <patternFill>
          <bgColor rgb="FFFFFF00"/>
        </patternFill>
      </fill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 val="0"/>
        <i/>
      </font>
    </dxf>
    <dxf>
      <font>
        <color rgb="FF0000FF"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lor rgb="FF003300"/>
      </font>
    </dxf>
    <dxf>
      <font>
        <color rgb="FFC00000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b val="0"/>
        <i/>
      </font>
    </dxf>
    <dxf>
      <font>
        <color rgb="FF0000FF"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lor rgb="FF006600"/>
      </font>
    </dxf>
    <dxf>
      <font>
        <color rgb="FFFF0000"/>
      </font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lor theme="5" tint="-0.499984740745262"/>
      </font>
      <border>
        <vertical/>
        <horizontal/>
      </border>
    </dxf>
    <dxf>
      <font>
        <color theme="1"/>
      </font>
    </dxf>
    <dxf>
      <font>
        <color rgb="FF00B0F0"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  <border>
        <bottom/>
        <vertical/>
        <horizontal/>
      </border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lor rgb="FFCC0000"/>
      </font>
    </dxf>
    <dxf>
      <font>
        <color rgb="FF00CC00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FF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color rgb="FF006600"/>
      </font>
    </dxf>
    <dxf>
      <font>
        <color rgb="FF800000"/>
      </font>
    </dxf>
    <dxf>
      <font>
        <b/>
        <i val="0"/>
        <color rgb="FFCC0000"/>
      </font>
    </dxf>
    <dxf>
      <font>
        <b/>
        <i val="0"/>
        <color rgb="FF00CC00"/>
      </font>
    </dxf>
    <dxf>
      <font>
        <color rgb="FF006600"/>
      </font>
      <fill>
        <patternFill patternType="none">
          <bgColor auto="1"/>
        </patternFill>
      </fill>
    </dxf>
    <dxf>
      <font>
        <color theme="1"/>
      </font>
    </dxf>
    <dxf>
      <font>
        <b/>
        <i val="0"/>
        <strike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0"/>
      </font>
    </dxf>
    <dxf>
      <fill>
        <patternFill>
          <bgColor theme="5" tint="0.79998168889431442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0"/>
      </font>
    </dxf>
    <dxf>
      <fill>
        <patternFill>
          <bgColor theme="5" tint="0.79998168889431442"/>
        </patternFill>
      </fill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3" tint="-0.24994659260841701"/>
      </font>
      <fill>
        <patternFill>
          <bgColor theme="3" tint="0.7999816888943144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6" tint="0.79998168889431442"/>
      </font>
      <fill>
        <patternFill>
          <bgColor theme="2" tint="-0.749961851863155"/>
        </patternFill>
      </fill>
    </dxf>
    <dxf>
      <font>
        <color rgb="FF800000"/>
      </font>
      <fill>
        <patternFill>
          <bgColor rgb="FFA1D6E9"/>
        </patternFill>
      </fill>
    </dxf>
    <dxf>
      <font>
        <color theme="1" tint="0.14996795556505021"/>
      </font>
      <fill>
        <patternFill>
          <bgColor theme="2"/>
        </patternFill>
      </fill>
    </dxf>
    <dxf>
      <font>
        <color rgb="FFFF4343"/>
      </font>
      <fill>
        <patternFill>
          <bgColor rgb="FFA50021"/>
        </patternFill>
      </fill>
    </dxf>
    <dxf>
      <font>
        <color rgb="FF993300"/>
      </font>
      <fill>
        <patternFill>
          <bgColor theme="6" tint="0.39994506668294322"/>
        </patternFill>
      </fill>
    </dxf>
    <dxf>
      <font>
        <color theme="7" tint="0.79998168889431442"/>
      </font>
      <fill>
        <patternFill>
          <bgColor rgb="FF7030A0"/>
        </patternFill>
      </fill>
    </dxf>
    <dxf>
      <font>
        <color rgb="FF002060"/>
      </font>
      <fill>
        <patternFill>
          <bgColor theme="4" tint="0.79998168889431442"/>
        </patternFill>
      </fill>
    </dxf>
    <dxf>
      <font>
        <color rgb="FF00B050"/>
      </font>
      <fill>
        <patternFill>
          <bgColor rgb="FFA4FAA8"/>
        </patternFill>
      </fill>
    </dxf>
    <dxf>
      <font>
        <color rgb="FF66FFCC"/>
      </font>
      <fill>
        <patternFill>
          <bgColor rgb="FF003300"/>
        </patternFill>
      </fill>
    </dxf>
    <dxf>
      <font>
        <color theme="2" tint="-0.89996032593768116"/>
      </font>
      <fill>
        <patternFill>
          <bgColor rgb="FFFF6600"/>
        </patternFill>
      </fill>
    </dxf>
    <dxf>
      <font>
        <color rgb="FF660066"/>
      </font>
      <fill>
        <patternFill>
          <bgColor theme="0" tint="-4.9989318521683403E-2"/>
        </patternFill>
      </fill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FF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indexed="8"/>
      </font>
    </dxf>
    <dxf>
      <font>
        <color theme="1"/>
      </font>
    </dxf>
    <dxf>
      <font>
        <color rgb="FF800000"/>
      </font>
    </dxf>
    <dxf>
      <font>
        <color rgb="FFFF0000"/>
      </font>
    </dxf>
    <dxf>
      <font>
        <color rgb="FF000066"/>
      </font>
    </dxf>
    <dxf>
      <font>
        <color rgb="FF0000FF"/>
      </font>
    </dxf>
    <dxf>
      <font>
        <b val="0"/>
        <i val="0"/>
        <color rgb="FF0066FF"/>
      </font>
    </dxf>
    <dxf>
      <font>
        <color theme="4" tint="0.39994506668294322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4" tint="0.39994506668294322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3" tint="-0.24994659260841701"/>
      </font>
      <fill>
        <patternFill>
          <bgColor theme="3" tint="0.7999816888943144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6" tint="0.79998168889431442"/>
      </font>
      <fill>
        <patternFill>
          <bgColor theme="2" tint="-0.749961851863155"/>
        </patternFill>
      </fill>
    </dxf>
    <dxf>
      <font>
        <color rgb="FF800000"/>
      </font>
      <fill>
        <patternFill>
          <bgColor rgb="FFA1D6E9"/>
        </patternFill>
      </fill>
    </dxf>
    <dxf>
      <font>
        <color theme="1" tint="0.14996795556505021"/>
      </font>
      <fill>
        <patternFill>
          <bgColor theme="2"/>
        </patternFill>
      </fill>
    </dxf>
    <dxf>
      <font>
        <color rgb="FFFF4343"/>
      </font>
      <fill>
        <patternFill>
          <bgColor rgb="FFA50021"/>
        </patternFill>
      </fill>
    </dxf>
    <dxf>
      <font>
        <color rgb="FF993300"/>
      </font>
      <fill>
        <patternFill>
          <bgColor theme="6" tint="0.39994506668294322"/>
        </patternFill>
      </fill>
    </dxf>
    <dxf>
      <font>
        <color theme="7" tint="0.79998168889431442"/>
      </font>
      <fill>
        <patternFill>
          <bgColor rgb="FF7030A0"/>
        </patternFill>
      </fill>
    </dxf>
    <dxf>
      <font>
        <color rgb="FF002060"/>
      </font>
      <fill>
        <patternFill>
          <bgColor theme="4" tint="0.79998168889431442"/>
        </patternFill>
      </fill>
    </dxf>
    <dxf>
      <font>
        <color rgb="FF00B050"/>
      </font>
      <fill>
        <patternFill>
          <bgColor rgb="FFA4FAA8"/>
        </patternFill>
      </fill>
    </dxf>
    <dxf>
      <font>
        <color rgb="FF66FFCC"/>
      </font>
      <fill>
        <patternFill>
          <bgColor rgb="FF003300"/>
        </patternFill>
      </fill>
    </dxf>
    <dxf>
      <font>
        <color theme="2" tint="-0.89996032593768116"/>
      </font>
      <fill>
        <patternFill>
          <bgColor rgb="FFFF6600"/>
        </patternFill>
      </fill>
    </dxf>
    <dxf>
      <font>
        <color rgb="FF660066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8C7853"/>
        </patternFill>
      </fill>
    </dxf>
    <dxf>
      <font>
        <color theme="1"/>
      </font>
      <fill>
        <patternFill patternType="solid">
          <bgColor rgb="FF8C7853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4" tint="0.39994506668294322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4" tint="0.39994506668294322"/>
      </font>
    </dxf>
    <dxf>
      <font>
        <color rgb="FF00CC00"/>
      </font>
    </dxf>
    <dxf>
      <font>
        <color theme="9" tint="-0.499984740745262"/>
      </font>
    </dxf>
    <dxf>
      <font>
        <color rgb="FF002060"/>
      </font>
    </dxf>
    <dxf>
      <font>
        <color theme="5" tint="-0.499984740745262"/>
      </font>
    </dxf>
    <dxf>
      <font>
        <color theme="6" tint="-0.499984740745262"/>
      </font>
    </dxf>
    <dxf>
      <font>
        <color rgb="FF7030A0"/>
      </font>
    </dxf>
    <dxf>
      <font>
        <color theme="1"/>
      </font>
    </dxf>
    <dxf>
      <fill>
        <patternFill>
          <bgColor theme="0" tint="-0.14996795556505021"/>
        </patternFill>
      </fill>
    </dxf>
    <dxf>
      <font>
        <color theme="1"/>
      </font>
    </dxf>
    <dxf>
      <font>
        <color rgb="FF800000"/>
      </font>
    </dxf>
    <dxf>
      <font>
        <color rgb="FF000066"/>
      </font>
    </dxf>
    <dxf>
      <font>
        <color rgb="FF7030A0"/>
      </font>
    </dxf>
    <dxf>
      <font>
        <color theme="9" tint="-0.499984740745262"/>
      </font>
    </dxf>
    <dxf>
      <font>
        <color rgb="FF006600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4" tint="0.39994506668294322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600000"/>
      </font>
      <fill>
        <patternFill>
          <bgColor theme="9" tint="0.59996337778862885"/>
        </patternFill>
      </fill>
    </dxf>
    <dxf>
      <font>
        <color rgb="FF006600"/>
      </font>
      <fill>
        <patternFill>
          <bgColor theme="6" tint="0.59996337778862885"/>
        </patternFill>
      </fill>
    </dxf>
    <dxf>
      <font>
        <color rgb="FF002060"/>
      </font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ont>
        <color rgb="FF7030A0"/>
      </font>
      <fill>
        <patternFill>
          <bgColor rgb="FFCC99FF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4" tint="0.39994506668294322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4" tint="0.39994506668294322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3" tint="-0.24994659260841701"/>
      </font>
      <fill>
        <patternFill>
          <bgColor theme="3" tint="0.7999816888943144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6" tint="0.79998168889431442"/>
      </font>
      <fill>
        <patternFill>
          <bgColor theme="2" tint="-0.749961851863155"/>
        </patternFill>
      </fill>
    </dxf>
    <dxf>
      <font>
        <color rgb="FF800000"/>
      </font>
      <fill>
        <patternFill>
          <bgColor rgb="FFA1D6E9"/>
        </patternFill>
      </fill>
    </dxf>
    <dxf>
      <font>
        <color theme="1" tint="0.14996795556505021"/>
      </font>
      <fill>
        <patternFill>
          <bgColor theme="2"/>
        </patternFill>
      </fill>
    </dxf>
    <dxf>
      <font>
        <color rgb="FFFF4343"/>
      </font>
      <fill>
        <patternFill>
          <bgColor rgb="FFA50021"/>
        </patternFill>
      </fill>
    </dxf>
    <dxf>
      <font>
        <color rgb="FF993300"/>
      </font>
      <fill>
        <patternFill>
          <bgColor theme="6" tint="0.39994506668294322"/>
        </patternFill>
      </fill>
    </dxf>
    <dxf>
      <font>
        <color theme="7" tint="0.79998168889431442"/>
      </font>
      <fill>
        <patternFill>
          <bgColor rgb="FF7030A0"/>
        </patternFill>
      </fill>
    </dxf>
    <dxf>
      <font>
        <color rgb="FF002060"/>
      </font>
      <fill>
        <patternFill>
          <bgColor theme="4" tint="0.79998168889431442"/>
        </patternFill>
      </fill>
    </dxf>
    <dxf>
      <font>
        <color rgb="FF00B050"/>
      </font>
      <fill>
        <patternFill>
          <bgColor rgb="FFA4FAA8"/>
        </patternFill>
      </fill>
    </dxf>
    <dxf>
      <font>
        <color rgb="FF66FFCC"/>
      </font>
      <fill>
        <patternFill>
          <bgColor rgb="FF003300"/>
        </patternFill>
      </fill>
    </dxf>
    <dxf>
      <font>
        <color theme="2" tint="-0.89996032593768116"/>
      </font>
      <fill>
        <patternFill>
          <bgColor rgb="FFFF6600"/>
        </patternFill>
      </fill>
    </dxf>
    <dxf>
      <font>
        <color rgb="FF660066"/>
      </font>
      <fill>
        <patternFill>
          <bgColor theme="0" tint="-4.9989318521683403E-2"/>
        </patternFill>
      </fill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66"/>
      </font>
    </dxf>
    <dxf>
      <font>
        <color rgb="FF800000"/>
      </font>
    </dxf>
    <dxf>
      <font>
        <color theme="1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1"/>
      </font>
      <fill>
        <patternFill>
          <bgColor rgb="FF8C7853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lor theme="1"/>
      </font>
      <fill>
        <patternFill patternType="solid">
          <bgColor rgb="FF8C7853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66"/>
      </font>
    </dxf>
    <dxf>
      <font>
        <color rgb="FF800000"/>
      </font>
    </dxf>
    <dxf>
      <font>
        <color theme="1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1"/>
      </font>
      <fill>
        <patternFill>
          <bgColor rgb="FF8C7853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lor theme="1"/>
      </font>
      <fill>
        <patternFill patternType="solid">
          <bgColor rgb="FF8C7853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66"/>
      </font>
    </dxf>
    <dxf>
      <font>
        <color rgb="FF800000"/>
      </font>
    </dxf>
    <dxf>
      <font>
        <color theme="1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lor theme="1"/>
      </font>
      <fill>
        <patternFill>
          <bgColor rgb="FF8C7853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 patternType="solid">
          <bgColor rgb="FF8C7853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66"/>
      </font>
    </dxf>
    <dxf>
      <font>
        <color rgb="FF800000"/>
      </font>
    </dxf>
    <dxf>
      <font>
        <color theme="1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66"/>
      </font>
    </dxf>
    <dxf>
      <font>
        <color rgb="FF800000"/>
      </font>
    </dxf>
    <dxf>
      <font>
        <color theme="1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b/>
        <i val="0"/>
        <color theme="1"/>
      </font>
    </dxf>
    <dxf>
      <font>
        <color rgb="FF0000FF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b val="0"/>
        <i val="0"/>
        <color rgb="FF3F0000"/>
      </font>
    </dxf>
    <dxf>
      <font>
        <condense val="0"/>
        <extend val="0"/>
        <color indexed="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/>
      </font>
    </dxf>
    <dxf>
      <font>
        <b/>
        <i val="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1"/>
      </font>
      <fill>
        <patternFill>
          <bgColor rgb="FF8C7853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b/>
        <i val="0"/>
        <color theme="1"/>
      </font>
    </dxf>
    <dxf>
      <font>
        <color rgb="FF0000FF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b val="0"/>
        <i val="0"/>
        <color rgb="FF3F0000"/>
      </font>
    </dxf>
    <dxf>
      <font>
        <condense val="0"/>
        <extend val="0"/>
        <color indexed="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3" tint="-0.24994659260841701"/>
      </font>
      <fill>
        <patternFill>
          <bgColor theme="3" tint="0.7999816888943144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6" tint="0.79998168889431442"/>
      </font>
      <fill>
        <patternFill>
          <bgColor theme="2" tint="-0.749961851863155"/>
        </patternFill>
      </fill>
    </dxf>
    <dxf>
      <font>
        <color rgb="FF800000"/>
      </font>
      <fill>
        <patternFill>
          <bgColor rgb="FFA1D6E9"/>
        </patternFill>
      </fill>
    </dxf>
    <dxf>
      <font>
        <color theme="1" tint="0.14996795556505021"/>
      </font>
      <fill>
        <patternFill>
          <bgColor theme="2"/>
        </patternFill>
      </fill>
    </dxf>
    <dxf>
      <font>
        <color rgb="FFFF4343"/>
      </font>
      <fill>
        <patternFill>
          <bgColor rgb="FFA50021"/>
        </patternFill>
      </fill>
    </dxf>
    <dxf>
      <font>
        <color rgb="FF993300"/>
      </font>
      <fill>
        <patternFill>
          <bgColor theme="6" tint="0.39994506668294322"/>
        </patternFill>
      </fill>
    </dxf>
    <dxf>
      <font>
        <color theme="7" tint="0.79998168889431442"/>
      </font>
      <fill>
        <patternFill>
          <bgColor rgb="FF7030A0"/>
        </patternFill>
      </fill>
    </dxf>
    <dxf>
      <font>
        <color rgb="FF002060"/>
      </font>
      <fill>
        <patternFill>
          <bgColor theme="4" tint="0.79998168889431442"/>
        </patternFill>
      </fill>
    </dxf>
    <dxf>
      <font>
        <color rgb="FF00B050"/>
      </font>
      <fill>
        <patternFill>
          <bgColor rgb="FFA4FAA8"/>
        </patternFill>
      </fill>
    </dxf>
    <dxf>
      <font>
        <color rgb="FF66FFCC"/>
      </font>
      <fill>
        <patternFill>
          <bgColor rgb="FF003300"/>
        </patternFill>
      </fill>
    </dxf>
    <dxf>
      <font>
        <color theme="2" tint="-0.89996032593768116"/>
      </font>
      <fill>
        <patternFill>
          <bgColor rgb="FFFF6600"/>
        </patternFill>
      </fill>
    </dxf>
    <dxf>
      <font>
        <color rgb="FF660066"/>
      </font>
      <fill>
        <patternFill>
          <bgColor theme="0" tint="-4.9989318521683403E-2"/>
        </patternFill>
      </fill>
    </dxf>
    <dxf>
      <font>
        <color theme="1"/>
      </font>
      <fill>
        <patternFill patternType="solid">
          <bgColor rgb="FF8C7853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</dxfs>
  <tableStyles count="0" defaultTableStyle="TableStyleMedium9" defaultPivotStyle="PivotStyleLight16"/>
  <colors>
    <mruColors>
      <color rgb="FF339966"/>
      <color rgb="FF00FF00"/>
      <color rgb="FFFF3300"/>
      <color rgb="FFFF9900"/>
      <color rgb="FFFFFF00"/>
      <color rgb="FF0F0000"/>
      <color rgb="FF1F0000"/>
      <color rgb="FF7F0000"/>
      <color rgb="FF0000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openxmlformats.org/officeDocument/2006/relationships/worksheet" Target="worksheets/sheet15.xml"/><Relationship Id="rId26" Type="http://schemas.openxmlformats.org/officeDocument/2006/relationships/worksheet" Target="worksheets/sheet2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18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4.xml"/><Relationship Id="rId25" Type="http://schemas.openxmlformats.org/officeDocument/2006/relationships/worksheet" Target="worksheets/sheet22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3.xml"/><Relationship Id="rId20" Type="http://schemas.openxmlformats.org/officeDocument/2006/relationships/worksheet" Target="worksheets/sheet17.xml"/><Relationship Id="rId29" Type="http://schemas.openxmlformats.org/officeDocument/2006/relationships/worksheet" Target="worksheets/sheet2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1.xml"/><Relationship Id="rId32" Type="http://schemas.openxmlformats.org/officeDocument/2006/relationships/worksheet" Target="worksheets/sheet29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3.xml"/><Relationship Id="rId23" Type="http://schemas.openxmlformats.org/officeDocument/2006/relationships/worksheet" Target="worksheets/sheet20.xml"/><Relationship Id="rId28" Type="http://schemas.openxmlformats.org/officeDocument/2006/relationships/worksheet" Target="worksheets/sheet25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6.xml"/><Relationship Id="rId31" Type="http://schemas.openxmlformats.org/officeDocument/2006/relationships/worksheet" Target="worksheets/sheet2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Relationship Id="rId22" Type="http://schemas.openxmlformats.org/officeDocument/2006/relationships/worksheet" Target="worksheets/sheet19.xml"/><Relationship Id="rId27" Type="http://schemas.openxmlformats.org/officeDocument/2006/relationships/worksheet" Target="worksheets/sheet24.xml"/><Relationship Id="rId30" Type="http://schemas.openxmlformats.org/officeDocument/2006/relationships/worksheet" Target="worksheets/sheet27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Höhenmeter zum erreichen der Maximalhöhe
Datenquelle: Touren</a:t>
            </a:r>
          </a:p>
        </c:rich>
      </c:tx>
      <c:layout>
        <c:manualLayout>
          <c:xMode val="edge"/>
          <c:yMode val="edge"/>
          <c:x val="0.31979166666666681"/>
          <c:y val="2.02020202020202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1.0416666666666666E-2"/>
          <c:y val="0.10774410774410779"/>
          <c:w val="0.94791666666666652"/>
          <c:h val="0.64141414141414144"/>
        </c:manualLayout>
      </c:layout>
      <c:areaChart>
        <c:grouping val="stacked"/>
        <c:varyColors val="0"/>
        <c:ser>
          <c:idx val="0"/>
          <c:order val="0"/>
          <c:tx>
            <c:strRef>
              <c:f>Touren!$G$1</c:f>
              <c:strCache>
                <c:ptCount val="1"/>
                <c:pt idx="0">
                  <c:v>max Höhe</c:v>
                </c:pt>
              </c:strCache>
            </c:strRef>
          </c:tx>
          <c:spPr>
            <a:gradFill rotWithShape="0">
              <a:gsLst>
                <a:gs pos="0">
                  <a:srgbClr val="FF0000"/>
                </a:gs>
                <a:gs pos="100000">
                  <a:srgbClr val="00FF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206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Touren!$A$2:$A$44</c:f>
              <c:strCache>
                <c:ptCount val="43"/>
                <c:pt idx="0">
                  <c:v>Katzenbuckel</c:v>
                </c:pt>
                <c:pt idx="1">
                  <c:v>Königsstuhlblick</c:v>
                </c:pt>
                <c:pt idx="2">
                  <c:v>Geiersberg Breitsol</c:v>
                </c:pt>
                <c:pt idx="3">
                  <c:v>Markgrafenwald</c:v>
                </c:pt>
                <c:pt idx="4">
                  <c:v>Reisenbach</c:v>
                </c:pt>
                <c:pt idx="5">
                  <c:v>Reisenberg</c:v>
                </c:pt>
                <c:pt idx="6">
                  <c:v>Kohlwald Bullau</c:v>
                </c:pt>
                <c:pt idx="7">
                  <c:v>Kinzert</c:v>
                </c:pt>
                <c:pt idx="8">
                  <c:v>Hohwald</c:v>
                </c:pt>
                <c:pt idx="9">
                  <c:v>Kinzertweg</c:v>
                </c:pt>
                <c:pt idx="10">
                  <c:v>Würzberg</c:v>
                </c:pt>
                <c:pt idx="11">
                  <c:v>Schloßau Hochbehälter</c:v>
                </c:pt>
                <c:pt idx="12">
                  <c:v>Schloßau Hohe Straße</c:v>
                </c:pt>
                <c:pt idx="13">
                  <c:v>Nasses Feld</c:v>
                </c:pt>
                <c:pt idx="14">
                  <c:v>Geißhöhe Wintersbach</c:v>
                </c:pt>
                <c:pt idx="15">
                  <c:v>Eulbach</c:v>
                </c:pt>
                <c:pt idx="16">
                  <c:v>Mudau</c:v>
                </c:pt>
                <c:pt idx="17">
                  <c:v>Geiersberg Mönchberg</c:v>
                </c:pt>
                <c:pt idx="18">
                  <c:v>Boxbrunn</c:v>
                </c:pt>
                <c:pt idx="19">
                  <c:v>Emichshöhe</c:v>
                </c:pt>
                <c:pt idx="20">
                  <c:v>Neidhof</c:v>
                </c:pt>
                <c:pt idx="21">
                  <c:v>Zweibild</c:v>
                </c:pt>
                <c:pt idx="22">
                  <c:v>Schöllesberg</c:v>
                </c:pt>
                <c:pt idx="23">
                  <c:v>Wannenberg</c:v>
                </c:pt>
                <c:pt idx="24">
                  <c:v>Kohlplatte</c:v>
                </c:pt>
                <c:pt idx="25">
                  <c:v>Höschhecken</c:v>
                </c:pt>
                <c:pt idx="26">
                  <c:v>Bandholz Hornbach</c:v>
                </c:pt>
                <c:pt idx="27">
                  <c:v>Steinkopf</c:v>
                </c:pt>
                <c:pt idx="28">
                  <c:v>Dicke Hecken</c:v>
                </c:pt>
                <c:pt idx="29">
                  <c:v>Neudorf Thingplatz</c:v>
                </c:pt>
                <c:pt idx="30">
                  <c:v>Mainbullau Flugplatz</c:v>
                </c:pt>
                <c:pt idx="31">
                  <c:v>Geißbuckel</c:v>
                </c:pt>
                <c:pt idx="32">
                  <c:v>Greinberg</c:v>
                </c:pt>
                <c:pt idx="33">
                  <c:v>Ospis</c:v>
                </c:pt>
                <c:pt idx="34">
                  <c:v>Weilbachkopf</c:v>
                </c:pt>
                <c:pt idx="35">
                  <c:v>Hunnenstein</c:v>
                </c:pt>
                <c:pt idx="36">
                  <c:v>Alte Ruhe</c:v>
                </c:pt>
                <c:pt idx="37">
                  <c:v>Rühlesberg</c:v>
                </c:pt>
                <c:pt idx="38">
                  <c:v>Scheuerbusch</c:v>
                </c:pt>
                <c:pt idx="39">
                  <c:v>Bussigberg</c:v>
                </c:pt>
                <c:pt idx="40">
                  <c:v>Steig</c:v>
                </c:pt>
                <c:pt idx="41">
                  <c:v>Gotthardsruine</c:v>
                </c:pt>
                <c:pt idx="42">
                  <c:v>Reffelsberg</c:v>
                </c:pt>
              </c:strCache>
            </c:strRef>
          </c:cat>
          <c:val>
            <c:numRef>
              <c:f>Touren!$G$2:$G$44</c:f>
              <c:numCache>
                <c:formatCode>0</c:formatCode>
                <c:ptCount val="43"/>
                <c:pt idx="0">
                  <c:v>626</c:v>
                </c:pt>
                <c:pt idx="1">
                  <c:v>600</c:v>
                </c:pt>
                <c:pt idx="2">
                  <c:v>586</c:v>
                </c:pt>
                <c:pt idx="3">
                  <c:v>585</c:v>
                </c:pt>
                <c:pt idx="4">
                  <c:v>581</c:v>
                </c:pt>
                <c:pt idx="5">
                  <c:v>568</c:v>
                </c:pt>
                <c:pt idx="6">
                  <c:v>560</c:v>
                </c:pt>
                <c:pt idx="7">
                  <c:v>554</c:v>
                </c:pt>
                <c:pt idx="8">
                  <c:v>553</c:v>
                </c:pt>
                <c:pt idx="9">
                  <c:v>547</c:v>
                </c:pt>
                <c:pt idx="10">
                  <c:v>544</c:v>
                </c:pt>
                <c:pt idx="11">
                  <c:v>532</c:v>
                </c:pt>
                <c:pt idx="12">
                  <c:v>530</c:v>
                </c:pt>
                <c:pt idx="13">
                  <c:v>527</c:v>
                </c:pt>
                <c:pt idx="14">
                  <c:v>523</c:v>
                </c:pt>
                <c:pt idx="15">
                  <c:v>516</c:v>
                </c:pt>
                <c:pt idx="16">
                  <c:v>513</c:v>
                </c:pt>
                <c:pt idx="17">
                  <c:v>512</c:v>
                </c:pt>
                <c:pt idx="18">
                  <c:v>505</c:v>
                </c:pt>
                <c:pt idx="19">
                  <c:v>505</c:v>
                </c:pt>
                <c:pt idx="20">
                  <c:v>501</c:v>
                </c:pt>
                <c:pt idx="21">
                  <c:v>495</c:v>
                </c:pt>
                <c:pt idx="22">
                  <c:v>482</c:v>
                </c:pt>
                <c:pt idx="23">
                  <c:v>482</c:v>
                </c:pt>
                <c:pt idx="24">
                  <c:v>481</c:v>
                </c:pt>
                <c:pt idx="25">
                  <c:v>473</c:v>
                </c:pt>
                <c:pt idx="26" formatCode="General">
                  <c:v>471</c:v>
                </c:pt>
                <c:pt idx="27">
                  <c:v>470</c:v>
                </c:pt>
                <c:pt idx="28">
                  <c:v>468</c:v>
                </c:pt>
                <c:pt idx="29">
                  <c:v>466</c:v>
                </c:pt>
                <c:pt idx="30">
                  <c:v>458</c:v>
                </c:pt>
                <c:pt idx="31">
                  <c:v>454</c:v>
                </c:pt>
                <c:pt idx="32">
                  <c:v>452</c:v>
                </c:pt>
                <c:pt idx="33">
                  <c:v>439</c:v>
                </c:pt>
                <c:pt idx="34">
                  <c:v>429</c:v>
                </c:pt>
                <c:pt idx="35">
                  <c:v>426</c:v>
                </c:pt>
                <c:pt idx="36">
                  <c:v>418</c:v>
                </c:pt>
                <c:pt idx="37">
                  <c:v>401</c:v>
                </c:pt>
                <c:pt idx="38">
                  <c:v>394</c:v>
                </c:pt>
                <c:pt idx="39" formatCode="General">
                  <c:v>341</c:v>
                </c:pt>
                <c:pt idx="40" formatCode="General">
                  <c:v>306</c:v>
                </c:pt>
                <c:pt idx="41">
                  <c:v>304</c:v>
                </c:pt>
                <c:pt idx="42">
                  <c:v>261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3175">
              <a:solidFill>
                <a:srgbClr val="000000"/>
              </a:solidFill>
              <a:prstDash val="solid"/>
            </a:ln>
          </c:spPr>
        </c:dropLines>
        <c:axId val="323678208"/>
        <c:axId val="323679744"/>
      </c:areaChart>
      <c:areaChart>
        <c:grouping val="stacked"/>
        <c:varyColors val="0"/>
        <c:ser>
          <c:idx val="1"/>
          <c:order val="1"/>
          <c:tx>
            <c:strRef>
              <c:f>Touren!$D$1</c:f>
              <c:strCache>
                <c:ptCount val="1"/>
                <c:pt idx="0">
                  <c:v>Hm</c:v>
                </c:pt>
              </c:strCache>
            </c:strRef>
          </c:tx>
          <c:spPr>
            <a:solidFill>
              <a:srgbClr val="4F81BD">
                <a:alpha val="50000"/>
              </a:srgbClr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Touren!$A$2:$A$44</c:f>
              <c:strCache>
                <c:ptCount val="43"/>
                <c:pt idx="0">
                  <c:v>Katzenbuckel</c:v>
                </c:pt>
                <c:pt idx="1">
                  <c:v>Königsstuhlblick</c:v>
                </c:pt>
                <c:pt idx="2">
                  <c:v>Geiersberg Breitsol</c:v>
                </c:pt>
                <c:pt idx="3">
                  <c:v>Markgrafenwald</c:v>
                </c:pt>
                <c:pt idx="4">
                  <c:v>Reisenbach</c:v>
                </c:pt>
                <c:pt idx="5">
                  <c:v>Reisenberg</c:v>
                </c:pt>
                <c:pt idx="6">
                  <c:v>Kohlwald Bullau</c:v>
                </c:pt>
                <c:pt idx="7">
                  <c:v>Kinzert</c:v>
                </c:pt>
                <c:pt idx="8">
                  <c:v>Hohwald</c:v>
                </c:pt>
                <c:pt idx="9">
                  <c:v>Kinzertweg</c:v>
                </c:pt>
                <c:pt idx="10">
                  <c:v>Würzberg</c:v>
                </c:pt>
                <c:pt idx="11">
                  <c:v>Schloßau Hochbehälter</c:v>
                </c:pt>
                <c:pt idx="12">
                  <c:v>Schloßau Hohe Straße</c:v>
                </c:pt>
                <c:pt idx="13">
                  <c:v>Nasses Feld</c:v>
                </c:pt>
                <c:pt idx="14">
                  <c:v>Geißhöhe Wintersbach</c:v>
                </c:pt>
                <c:pt idx="15">
                  <c:v>Eulbach</c:v>
                </c:pt>
                <c:pt idx="16">
                  <c:v>Mudau</c:v>
                </c:pt>
                <c:pt idx="17">
                  <c:v>Geiersberg Mönchberg</c:v>
                </c:pt>
                <c:pt idx="18">
                  <c:v>Boxbrunn</c:v>
                </c:pt>
                <c:pt idx="19">
                  <c:v>Emichshöhe</c:v>
                </c:pt>
                <c:pt idx="20">
                  <c:v>Neidhof</c:v>
                </c:pt>
                <c:pt idx="21">
                  <c:v>Zweibild</c:v>
                </c:pt>
                <c:pt idx="22">
                  <c:v>Schöllesberg</c:v>
                </c:pt>
                <c:pt idx="23">
                  <c:v>Wannenberg</c:v>
                </c:pt>
                <c:pt idx="24">
                  <c:v>Kohlplatte</c:v>
                </c:pt>
                <c:pt idx="25">
                  <c:v>Höschhecken</c:v>
                </c:pt>
                <c:pt idx="26">
                  <c:v>Bandholz Hornbach</c:v>
                </c:pt>
                <c:pt idx="27">
                  <c:v>Steinkopf</c:v>
                </c:pt>
                <c:pt idx="28">
                  <c:v>Dicke Hecken</c:v>
                </c:pt>
                <c:pt idx="29">
                  <c:v>Neudorf Thingplatz</c:v>
                </c:pt>
                <c:pt idx="30">
                  <c:v>Mainbullau Flugplatz</c:v>
                </c:pt>
                <c:pt idx="31">
                  <c:v>Geißbuckel</c:v>
                </c:pt>
                <c:pt idx="32">
                  <c:v>Greinberg</c:v>
                </c:pt>
                <c:pt idx="33">
                  <c:v>Ospis</c:v>
                </c:pt>
                <c:pt idx="34">
                  <c:v>Weilbachkopf</c:v>
                </c:pt>
                <c:pt idx="35">
                  <c:v>Hunnenstein</c:v>
                </c:pt>
                <c:pt idx="36">
                  <c:v>Alte Ruhe</c:v>
                </c:pt>
                <c:pt idx="37">
                  <c:v>Rühlesberg</c:v>
                </c:pt>
                <c:pt idx="38">
                  <c:v>Scheuerbusch</c:v>
                </c:pt>
                <c:pt idx="39">
                  <c:v>Bussigberg</c:v>
                </c:pt>
                <c:pt idx="40">
                  <c:v>Steig</c:v>
                </c:pt>
                <c:pt idx="41">
                  <c:v>Gotthardsruine</c:v>
                </c:pt>
                <c:pt idx="42">
                  <c:v>Reffelsberg</c:v>
                </c:pt>
              </c:strCache>
            </c:strRef>
          </c:cat>
          <c:val>
            <c:numRef>
              <c:f>Touren!$D$2:$D$44</c:f>
              <c:numCache>
                <c:formatCode>0</c:formatCode>
                <c:ptCount val="43"/>
                <c:pt idx="0">
                  <c:v>756</c:v>
                </c:pt>
                <c:pt idx="1">
                  <c:v>730</c:v>
                </c:pt>
                <c:pt idx="2">
                  <c:v>787</c:v>
                </c:pt>
                <c:pt idx="3">
                  <c:v>778</c:v>
                </c:pt>
                <c:pt idx="4">
                  <c:v>551</c:v>
                </c:pt>
                <c:pt idx="5">
                  <c:v>575</c:v>
                </c:pt>
                <c:pt idx="6">
                  <c:v>592</c:v>
                </c:pt>
                <c:pt idx="7">
                  <c:v>600</c:v>
                </c:pt>
                <c:pt idx="8">
                  <c:v>640</c:v>
                </c:pt>
                <c:pt idx="9">
                  <c:v>445</c:v>
                </c:pt>
                <c:pt idx="10">
                  <c:v>476</c:v>
                </c:pt>
                <c:pt idx="11">
                  <c:v>640</c:v>
                </c:pt>
                <c:pt idx="12">
                  <c:v>420</c:v>
                </c:pt>
                <c:pt idx="13" formatCode="General">
                  <c:v>585</c:v>
                </c:pt>
                <c:pt idx="14">
                  <c:v>658</c:v>
                </c:pt>
                <c:pt idx="15">
                  <c:v>425</c:v>
                </c:pt>
                <c:pt idx="16">
                  <c:v>410</c:v>
                </c:pt>
                <c:pt idx="17">
                  <c:v>439</c:v>
                </c:pt>
                <c:pt idx="18">
                  <c:v>411</c:v>
                </c:pt>
                <c:pt idx="19">
                  <c:v>392</c:v>
                </c:pt>
                <c:pt idx="20">
                  <c:v>385</c:v>
                </c:pt>
                <c:pt idx="21">
                  <c:v>375</c:v>
                </c:pt>
                <c:pt idx="22">
                  <c:v>402</c:v>
                </c:pt>
                <c:pt idx="23">
                  <c:v>380</c:v>
                </c:pt>
                <c:pt idx="24">
                  <c:v>369</c:v>
                </c:pt>
                <c:pt idx="25">
                  <c:v>448</c:v>
                </c:pt>
                <c:pt idx="26">
                  <c:v>535</c:v>
                </c:pt>
                <c:pt idx="27">
                  <c:v>340</c:v>
                </c:pt>
                <c:pt idx="28" formatCode="General">
                  <c:v>370</c:v>
                </c:pt>
                <c:pt idx="29">
                  <c:v>352</c:v>
                </c:pt>
                <c:pt idx="30">
                  <c:v>346</c:v>
                </c:pt>
                <c:pt idx="31">
                  <c:v>328</c:v>
                </c:pt>
                <c:pt idx="32">
                  <c:v>342</c:v>
                </c:pt>
                <c:pt idx="33">
                  <c:v>329</c:v>
                </c:pt>
                <c:pt idx="34" formatCode="General">
                  <c:v>320</c:v>
                </c:pt>
                <c:pt idx="35" formatCode="General">
                  <c:v>299</c:v>
                </c:pt>
                <c:pt idx="36" formatCode="General">
                  <c:v>298</c:v>
                </c:pt>
                <c:pt idx="37" formatCode="General">
                  <c:v>281</c:v>
                </c:pt>
                <c:pt idx="38" formatCode="General">
                  <c:v>325</c:v>
                </c:pt>
                <c:pt idx="39" formatCode="General">
                  <c:v>221</c:v>
                </c:pt>
                <c:pt idx="40" formatCode="General">
                  <c:v>255</c:v>
                </c:pt>
                <c:pt idx="41" formatCode="General">
                  <c:v>194</c:v>
                </c:pt>
                <c:pt idx="42" formatCode="General">
                  <c:v>241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2700">
              <a:solidFill>
                <a:srgbClr val="FFFFFF"/>
              </a:solidFill>
              <a:prstDash val="solid"/>
            </a:ln>
          </c:spPr>
        </c:dropLines>
        <c:axId val="323681280"/>
        <c:axId val="323494656"/>
      </c:areaChart>
      <c:catAx>
        <c:axId val="32367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3679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3679744"/>
        <c:scaling>
          <c:orientation val="minMax"/>
          <c:max val="1200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one"/>
        <c:crossAx val="323678208"/>
        <c:crosses val="autoZero"/>
        <c:crossBetween val="midCat"/>
        <c:majorUnit val="100"/>
        <c:minorUnit val="50"/>
      </c:valAx>
      <c:catAx>
        <c:axId val="323681280"/>
        <c:scaling>
          <c:orientation val="minMax"/>
        </c:scaling>
        <c:delete val="1"/>
        <c:axPos val="b"/>
        <c:majorTickMark val="out"/>
        <c:minorTickMark val="none"/>
        <c:tickLblPos val="none"/>
        <c:crossAx val="323494656"/>
        <c:crosses val="autoZero"/>
        <c:auto val="1"/>
        <c:lblAlgn val="ctr"/>
        <c:lblOffset val="100"/>
        <c:noMultiLvlLbl val="0"/>
      </c:catAx>
      <c:valAx>
        <c:axId val="323494656"/>
        <c:scaling>
          <c:orientation val="minMax"/>
          <c:max val="1200"/>
        </c:scaling>
        <c:delete val="0"/>
        <c:axPos val="r"/>
        <c:numFmt formatCode="0" sourceLinked="1"/>
        <c:majorTickMark val="in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3681280"/>
        <c:crosses val="max"/>
        <c:crossBetween val="midCat"/>
        <c:majorUnit val="100"/>
        <c:minorUnit val="50"/>
      </c:valAx>
      <c:spPr>
        <a:gradFill>
          <a:gsLst>
            <a:gs pos="0">
              <a:srgbClr val="DCEBF5"/>
            </a:gs>
            <a:gs pos="8000">
              <a:srgbClr val="83A7C3"/>
            </a:gs>
            <a:gs pos="13000">
              <a:srgbClr val="768FB9"/>
            </a:gs>
            <a:gs pos="21001">
              <a:srgbClr val="83A7C3"/>
            </a:gs>
            <a:gs pos="52000">
              <a:srgbClr val="FFFFFF"/>
            </a:gs>
            <a:gs pos="56000">
              <a:srgbClr val="9C6563"/>
            </a:gs>
            <a:gs pos="58000">
              <a:srgbClr val="80302D"/>
            </a:gs>
            <a:gs pos="71001">
              <a:srgbClr val="C0524E"/>
            </a:gs>
            <a:gs pos="94000">
              <a:srgbClr val="EBDAD4"/>
            </a:gs>
            <a:gs pos="100000">
              <a:srgbClr val="55261C"/>
            </a:gs>
          </a:gsLst>
          <a:lin ang="5400000" scaled="0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416666666666652"/>
          <c:y val="0.24410774410774441"/>
          <c:w val="8.2291666666667096E-2"/>
          <c:h val="7.239057239057228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zero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Durchschnittliche Steigung nach halber Strecke
Datenquelle: Touren</a:t>
            </a:r>
          </a:p>
        </c:rich>
      </c:tx>
      <c:layout>
        <c:manualLayout>
          <c:xMode val="edge"/>
          <c:yMode val="edge"/>
          <c:x val="0.3072916666666668"/>
          <c:y val="2.02020202020202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958333333333333E-2"/>
          <c:y val="9.9326599326601747E-2"/>
          <c:w val="0.94062500000015148"/>
          <c:h val="0.59376536395356549"/>
        </c:manualLayout>
      </c:layout>
      <c:areaChart>
        <c:grouping val="stacked"/>
        <c:varyColors val="0"/>
        <c:ser>
          <c:idx val="0"/>
          <c:order val="0"/>
          <c:tx>
            <c:strRef>
              <c:f>Touren!$I$1</c:f>
              <c:strCache>
                <c:ptCount val="1"/>
                <c:pt idx="0">
                  <c:v>Steigung</c:v>
                </c:pt>
              </c:strCache>
            </c:strRef>
          </c:tx>
          <c:spPr>
            <a:gradFill rotWithShape="0">
              <a:gsLst>
                <a:gs pos="0">
                  <a:srgbClr val="FF0000"/>
                </a:gs>
                <a:gs pos="100000">
                  <a:srgbClr val="00FF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cat>
            <c:strRef>
              <c:f>Touren!$A$2:$A$44</c:f>
              <c:strCache>
                <c:ptCount val="43"/>
                <c:pt idx="0">
                  <c:v>Katzenbuckel</c:v>
                </c:pt>
                <c:pt idx="1">
                  <c:v>Königsstuhlblick</c:v>
                </c:pt>
                <c:pt idx="2">
                  <c:v>Geiersberg Breitsol</c:v>
                </c:pt>
                <c:pt idx="3">
                  <c:v>Markgrafenwald</c:v>
                </c:pt>
                <c:pt idx="4">
                  <c:v>Reisenbach</c:v>
                </c:pt>
                <c:pt idx="5">
                  <c:v>Reisenberg</c:v>
                </c:pt>
                <c:pt idx="6">
                  <c:v>Kohlwald Bullau</c:v>
                </c:pt>
                <c:pt idx="7">
                  <c:v>Kinzert</c:v>
                </c:pt>
                <c:pt idx="8">
                  <c:v>Hohwald</c:v>
                </c:pt>
                <c:pt idx="9">
                  <c:v>Kinzertweg</c:v>
                </c:pt>
                <c:pt idx="10">
                  <c:v>Würzberg</c:v>
                </c:pt>
                <c:pt idx="11">
                  <c:v>Schloßau Hochbehälter</c:v>
                </c:pt>
                <c:pt idx="12">
                  <c:v>Schloßau Hohe Straße</c:v>
                </c:pt>
                <c:pt idx="13">
                  <c:v>Nasses Feld</c:v>
                </c:pt>
                <c:pt idx="14">
                  <c:v>Geißhöhe Wintersbach</c:v>
                </c:pt>
                <c:pt idx="15">
                  <c:v>Eulbach</c:v>
                </c:pt>
                <c:pt idx="16">
                  <c:v>Mudau</c:v>
                </c:pt>
                <c:pt idx="17">
                  <c:v>Geiersberg Mönchberg</c:v>
                </c:pt>
                <c:pt idx="18">
                  <c:v>Boxbrunn</c:v>
                </c:pt>
                <c:pt idx="19">
                  <c:v>Emichshöhe</c:v>
                </c:pt>
                <c:pt idx="20">
                  <c:v>Neidhof</c:v>
                </c:pt>
                <c:pt idx="21">
                  <c:v>Zweibild</c:v>
                </c:pt>
                <c:pt idx="22">
                  <c:v>Schöllesberg</c:v>
                </c:pt>
                <c:pt idx="23">
                  <c:v>Wannenberg</c:v>
                </c:pt>
                <c:pt idx="24">
                  <c:v>Kohlplatte</c:v>
                </c:pt>
                <c:pt idx="25">
                  <c:v>Höschhecken</c:v>
                </c:pt>
                <c:pt idx="26">
                  <c:v>Bandholz Hornbach</c:v>
                </c:pt>
                <c:pt idx="27">
                  <c:v>Steinkopf</c:v>
                </c:pt>
                <c:pt idx="28">
                  <c:v>Dicke Hecken</c:v>
                </c:pt>
                <c:pt idx="29">
                  <c:v>Neudorf Thingplatz</c:v>
                </c:pt>
                <c:pt idx="30">
                  <c:v>Mainbullau Flugplatz</c:v>
                </c:pt>
                <c:pt idx="31">
                  <c:v>Geißbuckel</c:v>
                </c:pt>
                <c:pt idx="32">
                  <c:v>Greinberg</c:v>
                </c:pt>
                <c:pt idx="33">
                  <c:v>Ospis</c:v>
                </c:pt>
                <c:pt idx="34">
                  <c:v>Weilbachkopf</c:v>
                </c:pt>
                <c:pt idx="35">
                  <c:v>Hunnenstein</c:v>
                </c:pt>
                <c:pt idx="36">
                  <c:v>Alte Ruhe</c:v>
                </c:pt>
                <c:pt idx="37">
                  <c:v>Rühlesberg</c:v>
                </c:pt>
                <c:pt idx="38">
                  <c:v>Scheuerbusch</c:v>
                </c:pt>
                <c:pt idx="39">
                  <c:v>Bussigberg</c:v>
                </c:pt>
                <c:pt idx="40">
                  <c:v>Steig</c:v>
                </c:pt>
                <c:pt idx="41">
                  <c:v>Gotthardsruine</c:v>
                </c:pt>
                <c:pt idx="42">
                  <c:v>Reffelsberg</c:v>
                </c:pt>
              </c:strCache>
            </c:strRef>
          </c:cat>
          <c:val>
            <c:numRef>
              <c:f>Touren!$I$2:$I$44</c:f>
              <c:numCache>
                <c:formatCode>0.00%</c:formatCode>
                <c:ptCount val="43"/>
                <c:pt idx="0">
                  <c:v>1.9016475914979247E-2</c:v>
                </c:pt>
                <c:pt idx="1">
                  <c:v>1.6276477146042363E-2</c:v>
                </c:pt>
                <c:pt idx="2">
                  <c:v>2.1076593465452598E-2</c:v>
                </c:pt>
                <c:pt idx="3">
                  <c:v>2.2324246771879483E-2</c:v>
                </c:pt>
                <c:pt idx="4">
                  <c:v>1.8539703903095558E-2</c:v>
                </c:pt>
                <c:pt idx="5">
                  <c:v>1.8641595072134868E-2</c:v>
                </c:pt>
                <c:pt idx="6">
                  <c:v>2.2945736434108528E-2</c:v>
                </c:pt>
                <c:pt idx="7">
                  <c:v>2.1582733812949641E-2</c:v>
                </c:pt>
                <c:pt idx="8">
                  <c:v>2.4758220502901353E-2</c:v>
                </c:pt>
                <c:pt idx="9">
                  <c:v>1.5788540003547985E-2</c:v>
                </c:pt>
                <c:pt idx="10">
                  <c:v>2.1080602302922941E-2</c:v>
                </c:pt>
                <c:pt idx="11">
                  <c:v>2.4015009380863036E-2</c:v>
                </c:pt>
                <c:pt idx="12">
                  <c:v>1.6600790513833993E-2</c:v>
                </c:pt>
                <c:pt idx="13">
                  <c:v>2.170686456400742E-2</c:v>
                </c:pt>
                <c:pt idx="14">
                  <c:v>2.2028791429527954E-2</c:v>
                </c:pt>
                <c:pt idx="15">
                  <c:v>2.2702991452991452E-2</c:v>
                </c:pt>
                <c:pt idx="16">
                  <c:v>1.6952656605333884E-2</c:v>
                </c:pt>
                <c:pt idx="17">
                  <c:v>3.1402002861230328E-2</c:v>
                </c:pt>
                <c:pt idx="18">
                  <c:v>2.7363515312916111E-2</c:v>
                </c:pt>
                <c:pt idx="19">
                  <c:v>2.5570776255707764E-2</c:v>
                </c:pt>
                <c:pt idx="20">
                  <c:v>2.9023746701846966E-2</c:v>
                </c:pt>
                <c:pt idx="21">
                  <c:v>2.7922561429635145E-2</c:v>
                </c:pt>
                <c:pt idx="22">
                  <c:v>3.1054461181923523E-2</c:v>
                </c:pt>
                <c:pt idx="23">
                  <c:v>3.4655722754217966E-2</c:v>
                </c:pt>
                <c:pt idx="24">
                  <c:v>4.3208430913348944E-2</c:v>
                </c:pt>
                <c:pt idx="25">
                  <c:v>4.2585551330798478E-2</c:v>
                </c:pt>
                <c:pt idx="26">
                  <c:v>2.6850690087829362E-2</c:v>
                </c:pt>
                <c:pt idx="27">
                  <c:v>4.6070460704607047E-2</c:v>
                </c:pt>
                <c:pt idx="28">
                  <c:v>1.6818181818181819E-2</c:v>
                </c:pt>
                <c:pt idx="29">
                  <c:v>2.8171268507402963E-2</c:v>
                </c:pt>
                <c:pt idx="30">
                  <c:v>5.5448717948717946E-2</c:v>
                </c:pt>
                <c:pt idx="31">
                  <c:v>5.5452240067624683E-2</c:v>
                </c:pt>
                <c:pt idx="32">
                  <c:v>6.6472303206997083E-2</c:v>
                </c:pt>
                <c:pt idx="33">
                  <c:v>3.5586803677663599E-2</c:v>
                </c:pt>
                <c:pt idx="34">
                  <c:v>6.2561094819159335E-2</c:v>
                </c:pt>
                <c:pt idx="35">
                  <c:v>2.8944820909970959E-2</c:v>
                </c:pt>
                <c:pt idx="36">
                  <c:v>3.4411085450346421E-2</c:v>
                </c:pt>
                <c:pt idx="37">
                  <c:v>2.8600508905852418E-2</c:v>
                </c:pt>
                <c:pt idx="38">
                  <c:v>3.8235294117647062E-2</c:v>
                </c:pt>
                <c:pt idx="39">
                  <c:v>2.6498800959232613E-2</c:v>
                </c:pt>
                <c:pt idx="40">
                  <c:v>1.8484958318231243E-2</c:v>
                </c:pt>
                <c:pt idx="41">
                  <c:v>2.7132867132867132E-2</c:v>
                </c:pt>
                <c:pt idx="42">
                  <c:v>1.4011627906976744E-2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3175">
              <a:solidFill>
                <a:srgbClr val="000000"/>
              </a:solidFill>
              <a:prstDash val="solid"/>
            </a:ln>
          </c:spPr>
        </c:dropLines>
        <c:axId val="323565440"/>
        <c:axId val="323566976"/>
      </c:areaChart>
      <c:catAx>
        <c:axId val="32356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3566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3566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3565440"/>
        <c:crosses val="autoZero"/>
        <c:crossBetween val="midCat"/>
        <c:minorUnit val="5.0000000000000114E-3"/>
      </c:valAx>
      <c:spPr>
        <a:gradFill>
          <a:gsLst>
            <a:gs pos="0">
              <a:srgbClr val="DCEBF5"/>
            </a:gs>
            <a:gs pos="8000">
              <a:srgbClr val="83A7C3"/>
            </a:gs>
            <a:gs pos="13000">
              <a:srgbClr val="768FB9"/>
            </a:gs>
            <a:gs pos="21001">
              <a:srgbClr val="83A7C3"/>
            </a:gs>
            <a:gs pos="52000">
              <a:srgbClr val="FFFFFF"/>
            </a:gs>
            <a:gs pos="56000">
              <a:srgbClr val="9C6563"/>
            </a:gs>
            <a:gs pos="58000">
              <a:srgbClr val="80302D"/>
            </a:gs>
            <a:gs pos="71001">
              <a:srgbClr val="C0524E"/>
            </a:gs>
            <a:gs pos="94000">
              <a:srgbClr val="EBDAD4"/>
            </a:gs>
            <a:gs pos="100000">
              <a:srgbClr val="55261C"/>
            </a:gs>
          </a:gsLst>
          <a:lin ang="5400000" scaled="0"/>
        </a:gra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Länge
Datenquelle: Rennen</a:t>
            </a:r>
          </a:p>
        </c:rich>
      </c:tx>
      <c:layout>
        <c:manualLayout>
          <c:xMode val="edge"/>
          <c:yMode val="edge"/>
          <c:x val="0.41354166666666681"/>
          <c:y val="2.02020202020202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583333333334034E-2"/>
          <c:y val="0.10101010101010102"/>
          <c:w val="0.8802083333333337"/>
          <c:h val="0.77609427609455961"/>
        </c:manualLayout>
      </c:layout>
      <c:areaChart>
        <c:grouping val="stacked"/>
        <c:varyColors val="0"/>
        <c:ser>
          <c:idx val="0"/>
          <c:order val="0"/>
          <c:tx>
            <c:strRef>
              <c:f>Race!$C$1</c:f>
              <c:strCache>
                <c:ptCount val="1"/>
                <c:pt idx="0">
                  <c:v>km</c:v>
                </c:pt>
              </c:strCache>
            </c:strRef>
          </c:tx>
          <c:spPr>
            <a:gradFill rotWithShape="0">
              <a:gsLst>
                <a:gs pos="0">
                  <a:srgbClr val="FF0000"/>
                </a:gs>
                <a:gs pos="100000">
                  <a:srgbClr val="00FF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cat>
            <c:strRef>
              <c:f>Race!$A$2:$A$19</c:f>
              <c:strCache>
                <c:ptCount val="18"/>
                <c:pt idx="0">
                  <c:v>Griesheim 2008</c:v>
                </c:pt>
                <c:pt idx="1">
                  <c:v>Centgrafen 2011</c:v>
                </c:pt>
                <c:pt idx="2">
                  <c:v>Centgrafen 2009</c:v>
                </c:pt>
                <c:pt idx="3">
                  <c:v>Spessarträuber 2009</c:v>
                </c:pt>
                <c:pt idx="4">
                  <c:v>Rhön Rundfahrt 2008</c:v>
                </c:pt>
                <c:pt idx="5">
                  <c:v>Centgrafen 2008</c:v>
                </c:pt>
                <c:pt idx="6">
                  <c:v>Spessarträuber 2007</c:v>
                </c:pt>
                <c:pt idx="7">
                  <c:v>Eppertshausen 2007</c:v>
                </c:pt>
                <c:pt idx="8">
                  <c:v>Henninger 2007</c:v>
                </c:pt>
                <c:pt idx="9">
                  <c:v>Centgrafen 2013</c:v>
                </c:pt>
                <c:pt idx="10">
                  <c:v>Wenigumstadt 2009</c:v>
                </c:pt>
                <c:pt idx="11">
                  <c:v>Garmisch 2007</c:v>
                </c:pt>
                <c:pt idx="12">
                  <c:v>Frammersbach 2007</c:v>
                </c:pt>
                <c:pt idx="13">
                  <c:v>Frammersbach 2006</c:v>
                </c:pt>
                <c:pt idx="14">
                  <c:v>Churfranken Tri 2009</c:v>
                </c:pt>
                <c:pt idx="15">
                  <c:v>Schotten 2007</c:v>
                </c:pt>
                <c:pt idx="16">
                  <c:v>Sulzbach 2010</c:v>
                </c:pt>
                <c:pt idx="17">
                  <c:v>Sportabzeichen 2008</c:v>
                </c:pt>
              </c:strCache>
            </c:strRef>
          </c:cat>
          <c:val>
            <c:numRef>
              <c:f>Race!$C$2:$C$19</c:f>
              <c:numCache>
                <c:formatCode>0.00</c:formatCode>
                <c:ptCount val="18"/>
                <c:pt idx="0">
                  <c:v>207</c:v>
                </c:pt>
                <c:pt idx="1">
                  <c:v>124</c:v>
                </c:pt>
                <c:pt idx="2">
                  <c:v>124</c:v>
                </c:pt>
                <c:pt idx="3">
                  <c:v>115</c:v>
                </c:pt>
                <c:pt idx="4">
                  <c:v>115</c:v>
                </c:pt>
                <c:pt idx="5">
                  <c:v>115</c:v>
                </c:pt>
                <c:pt idx="6">
                  <c:v>115</c:v>
                </c:pt>
                <c:pt idx="7">
                  <c:v>111</c:v>
                </c:pt>
                <c:pt idx="8">
                  <c:v>102</c:v>
                </c:pt>
                <c:pt idx="9">
                  <c:v>96.21</c:v>
                </c:pt>
                <c:pt idx="10">
                  <c:v>88.12</c:v>
                </c:pt>
                <c:pt idx="11">
                  <c:v>65</c:v>
                </c:pt>
                <c:pt idx="12">
                  <c:v>62</c:v>
                </c:pt>
                <c:pt idx="13">
                  <c:v>62</c:v>
                </c:pt>
                <c:pt idx="14">
                  <c:v>54</c:v>
                </c:pt>
                <c:pt idx="15">
                  <c:v>45</c:v>
                </c:pt>
                <c:pt idx="16">
                  <c:v>34</c:v>
                </c:pt>
                <c:pt idx="17">
                  <c:v>20.34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3175">
              <a:solidFill>
                <a:srgbClr val="000000"/>
              </a:solidFill>
              <a:prstDash val="solid"/>
            </a:ln>
          </c:spPr>
        </c:dropLines>
        <c:axId val="323604480"/>
        <c:axId val="323606016"/>
      </c:areaChart>
      <c:catAx>
        <c:axId val="32360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3606016"/>
        <c:crosses val="autoZero"/>
        <c:auto val="1"/>
        <c:lblAlgn val="ctr"/>
        <c:lblOffset val="100"/>
        <c:tickMarkSkip val="1"/>
        <c:noMultiLvlLbl val="0"/>
      </c:catAx>
      <c:valAx>
        <c:axId val="323606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3604480"/>
        <c:crosses val="autoZero"/>
        <c:crossBetween val="midCat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</c:dTable>
      <c:spPr>
        <a:gradFill>
          <a:gsLst>
            <a:gs pos="0">
              <a:srgbClr val="DCEBF5"/>
            </a:gs>
            <a:gs pos="8000">
              <a:srgbClr val="83A7C3"/>
            </a:gs>
            <a:gs pos="13000">
              <a:srgbClr val="768FB9"/>
            </a:gs>
            <a:gs pos="21001">
              <a:srgbClr val="83A7C3"/>
            </a:gs>
            <a:gs pos="52000">
              <a:srgbClr val="FFFFFF"/>
            </a:gs>
            <a:gs pos="56000">
              <a:srgbClr val="9C6563"/>
            </a:gs>
            <a:gs pos="58000">
              <a:srgbClr val="80302D"/>
            </a:gs>
            <a:gs pos="71001">
              <a:srgbClr val="C0524E"/>
            </a:gs>
            <a:gs pos="94000">
              <a:srgbClr val="EBDAD4"/>
            </a:gs>
            <a:gs pos="100000">
              <a:srgbClr val="55261C"/>
            </a:gs>
          </a:gsLst>
          <a:lin ang="5400000" scaled="0"/>
        </a:gra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en-US" sz="1600">
                <a:latin typeface="Arial" pitchFamily="34" charset="0"/>
                <a:cs typeface="Arial" pitchFamily="34" charset="0"/>
              </a:rPr>
              <a:t>Anzahl Touren pro Region</a:t>
            </a:r>
          </a:p>
          <a:p>
            <a:pPr>
              <a:defRPr sz="2800"/>
            </a:pPr>
            <a:r>
              <a:rPr lang="en-US" sz="1600">
                <a:latin typeface="Arial" pitchFamily="34" charset="0"/>
                <a:cs typeface="Arial" pitchFamily="34" charset="0"/>
              </a:rPr>
              <a:t>Datenquelle: Auswärts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Region!$B$1</c:f>
              <c:strCache>
                <c:ptCount val="1"/>
                <c:pt idx="0">
                  <c:v>Anzahl Touren</c:v>
                </c:pt>
              </c:strCache>
            </c:strRef>
          </c:tx>
          <c:spPr>
            <a:ln w="25400" cmpd="sng">
              <a:solidFill>
                <a:schemeClr val="tx1"/>
              </a:solidFill>
              <a:prstDash val="solid"/>
            </a:ln>
          </c:spPr>
          <c:dLbls>
            <c:txPr>
              <a:bodyPr/>
              <a:lstStyle/>
              <a:p>
                <a:pPr>
                  <a:defRPr sz="1600" baseline="0">
                    <a:latin typeface="Arial" pitchFamily="34" charset="0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</c:dLbls>
          <c:cat>
            <c:strRef>
              <c:f>Region!$A$2:$A$10</c:f>
              <c:strCache>
                <c:ptCount val="9"/>
                <c:pt idx="0">
                  <c:v>Spessart</c:v>
                </c:pt>
                <c:pt idx="1">
                  <c:v>Taunus</c:v>
                </c:pt>
                <c:pt idx="2">
                  <c:v>Vogelsberg</c:v>
                </c:pt>
                <c:pt idx="3">
                  <c:v>Odenwald</c:v>
                </c:pt>
                <c:pt idx="4">
                  <c:v>Rhön</c:v>
                </c:pt>
                <c:pt idx="5">
                  <c:v>Schwarzwald</c:v>
                </c:pt>
                <c:pt idx="6">
                  <c:v>Alpen</c:v>
                </c:pt>
                <c:pt idx="7">
                  <c:v>Schwäbische Alb</c:v>
                </c:pt>
                <c:pt idx="8">
                  <c:v>Thüringer Wald</c:v>
                </c:pt>
              </c:strCache>
            </c:strRef>
          </c:cat>
          <c:val>
            <c:numRef>
              <c:f>Region!$B$2:$B$10</c:f>
              <c:numCache>
                <c:formatCode>General</c:formatCode>
                <c:ptCount val="9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0740470993958871"/>
          <c:y val="0.15364696442681094"/>
          <c:w val="0.18572302814479794"/>
          <c:h val="0.69994207088118565"/>
        </c:manualLayout>
      </c:layout>
      <c:overlay val="0"/>
      <c:txPr>
        <a:bodyPr/>
        <a:lstStyle/>
        <a:p>
          <a:pPr rtl="0">
            <a:defRPr sz="1600" baseline="0">
              <a:latin typeface="Arial" pitchFamily="34" charset="0"/>
            </a:defRPr>
          </a:pPr>
          <a:endParaRPr lang="de-DE"/>
        </a:p>
      </c:txPr>
    </c:legend>
    <c:plotVisOnly val="1"/>
    <c:dispBlanksAs val="zero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>
      <a:noFill/>
    </a:ln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theme="7" tint="0.59999389629810485"/>
  </sheetPr>
  <sheetViews>
    <sheetView zoomScale="142" workbookViewId="0"/>
  </sheetViews>
  <pageMargins left="0.78740157499999996" right="0.78740157499999996" top="0.984251969" bottom="0.984251969" header="0.4921259845" footer="0.4921259845"/>
  <pageSetup paperSize="9" orientation="landscape" horizontalDpi="4294967293" verticalDpi="3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theme="7" tint="0.59999389629810485"/>
  </sheetPr>
  <sheetViews>
    <sheetView zoomScale="140" workbookViewId="0"/>
  </sheetViews>
  <pageMargins left="0.78740157480314965" right="0.78740157480314965" top="0.98425196850393704" bottom="0.98425196850393704" header="0.51181102362204722" footer="0.51181102362204722"/>
  <pageSetup paperSize="9" orientation="landscape" horizontalDpi="4294967293" verticalDpi="300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>
    <tabColor theme="7" tint="0.59999389629810485"/>
  </sheetPr>
  <sheetViews>
    <sheetView zoomScale="140" workbookViewId="0"/>
  </sheetViews>
  <pageMargins left="0.78740157480314965" right="0.78740157480314965" top="0.98425196850393704" bottom="0.98425196850393704" header="0.51181102362204722" footer="0.51181102362204722"/>
  <pageSetup paperSize="9" orientation="landscape" horizontalDpi="4294967293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49366" cy="5661338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150804" cy="5660571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50804" cy="5660571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0</xdr:row>
      <xdr:rowOff>0</xdr:rowOff>
    </xdr:from>
    <xdr:to>
      <xdr:col>28</xdr:col>
      <xdr:colOff>571500</xdr:colOff>
      <xdr:row>50</xdr:row>
      <xdr:rowOff>95250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photoshop.com/accounts/dde9a78a590842e58bcf1fe233f8eff1/px-assets/d97a551159334c9d837e33479ef58ab3" TargetMode="Externa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hyperlink" Target="http://fansoft.gmxhome.de/biketours/normalstartpunkt.kmz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fansoft.gmxhome.de/biketours/normalstartpunkt.kmz" TargetMode="External"/><Relationship Id="rId4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pessart-bike.de/" TargetMode="External"/><Relationship Id="rId13" Type="http://schemas.openxmlformats.org/officeDocument/2006/relationships/hyperlink" Target="http://www.rsc-grossheubach.de/html/115_km.html" TargetMode="External"/><Relationship Id="rId18" Type="http://schemas.openxmlformats.org/officeDocument/2006/relationships/hyperlink" Target="http://fansoft.gmxhome.de/urkunden/2009-07-27-churfranken-triathlon-urkunde.pdf" TargetMode="External"/><Relationship Id="rId3" Type="http://schemas.openxmlformats.org/officeDocument/2006/relationships/hyperlink" Target="http://www.spessart-bike.de/" TargetMode="External"/><Relationship Id="rId21" Type="http://schemas.openxmlformats.org/officeDocument/2006/relationships/hyperlink" Target="http://rsc.thoms.in/" TargetMode="External"/><Relationship Id="rId7" Type="http://schemas.openxmlformats.org/officeDocument/2006/relationships/hyperlink" Target="http://fansoft.gmxhome.de/urkunden/2007-02-27-mtb-garmisch-urkunde.pdf" TargetMode="External"/><Relationship Id="rId12" Type="http://schemas.openxmlformats.org/officeDocument/2006/relationships/hyperlink" Target="http://www.rsc-bimbach.de/" TargetMode="External"/><Relationship Id="rId17" Type="http://schemas.openxmlformats.org/officeDocument/2006/relationships/hyperlink" Target="http://www.rv-06mainaschaff.de/" TargetMode="External"/><Relationship Id="rId25" Type="http://schemas.openxmlformats.org/officeDocument/2006/relationships/comments" Target="../comments12.xml"/><Relationship Id="rId2" Type="http://schemas.openxmlformats.org/officeDocument/2006/relationships/hyperlink" Target="http://www.mmbici.de/termine/interm.htm?/profile/EPP-50.htm" TargetMode="External"/><Relationship Id="rId16" Type="http://schemas.openxmlformats.org/officeDocument/2006/relationships/hyperlink" Target="http://rsc.thoms.in/" TargetMode="External"/><Relationship Id="rId20" Type="http://schemas.openxmlformats.org/officeDocument/2006/relationships/hyperlink" Target="http://www.mtb-sulzbach.de/mtb-forum/index.php?area=vbcmsarea_content&amp;contentid=39" TargetMode="External"/><Relationship Id="rId1" Type="http://schemas.openxmlformats.org/officeDocument/2006/relationships/hyperlink" Target="http://fansoft.gmxhome.de/urkunden/2006-06-25-mtb-frammersbach-urkunde.pdf" TargetMode="External"/><Relationship Id="rId6" Type="http://schemas.openxmlformats.org/officeDocument/2006/relationships/hyperlink" Target="http://www.radsport-festival.de/" TargetMode="External"/><Relationship Id="rId11" Type="http://schemas.openxmlformats.org/officeDocument/2006/relationships/hyperlink" Target="http://fansoft.gmxhome.de/urkunden/2008-04-27-radmarathon-griesheim-urkunde.ppsx" TargetMode="External"/><Relationship Id="rId24" Type="http://schemas.openxmlformats.org/officeDocument/2006/relationships/vmlDrawing" Target="../drawings/vmlDrawing12.vml"/><Relationship Id="rId5" Type="http://schemas.openxmlformats.org/officeDocument/2006/relationships/hyperlink" Target="http://www.bike-challenge.com/" TargetMode="External"/><Relationship Id="rId15" Type="http://schemas.openxmlformats.org/officeDocument/2006/relationships/hyperlink" Target="http://www.rv-wenigumstadt.de/" TargetMode="External"/><Relationship Id="rId23" Type="http://schemas.openxmlformats.org/officeDocument/2006/relationships/printerSettings" Target="../printerSettings/printerSettings5.bin"/><Relationship Id="rId10" Type="http://schemas.openxmlformats.org/officeDocument/2006/relationships/hyperlink" Target="http://www.tusgriesheim.de/radsport/" TargetMode="External"/><Relationship Id="rId19" Type="http://schemas.openxmlformats.org/officeDocument/2006/relationships/hyperlink" Target="http://www.churfranken-triathlon.de/" TargetMode="External"/><Relationship Id="rId4" Type="http://schemas.openxmlformats.org/officeDocument/2006/relationships/hyperlink" Target="http://www.henninger-rennen.de/" TargetMode="External"/><Relationship Id="rId9" Type="http://schemas.openxmlformats.org/officeDocument/2006/relationships/hyperlink" Target="http://www.rv-06mainaschaff.de/" TargetMode="External"/><Relationship Id="rId14" Type="http://schemas.openxmlformats.org/officeDocument/2006/relationships/hyperlink" Target="http://www.deutsches-sportabzeichen.de/" TargetMode="External"/><Relationship Id="rId22" Type="http://schemas.openxmlformats.org/officeDocument/2006/relationships/hyperlink" Target="http://rsc.thoms.in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6.xml.rels><?xml version="1.0" encoding="UTF-8" standalone="yes"?>
<Relationships xmlns="http://schemas.openxmlformats.org/package/2006/relationships"><Relationship Id="rId13" Type="http://schemas.openxmlformats.org/officeDocument/2006/relationships/hyperlink" Target="http://fansoft.gmxhome.de/biketours/jable_1230.jpg" TargetMode="External"/><Relationship Id="rId18" Type="http://schemas.openxmlformats.org/officeDocument/2006/relationships/hyperlink" Target="http://www.photoshop.com/accounts/dde9a78a590842e58bcf1fe233f8eff1/px-assets/2d31737b0ec5448b8f70261b34138d56" TargetMode="External"/><Relationship Id="rId26" Type="http://schemas.openxmlformats.org/officeDocument/2006/relationships/hyperlink" Target="http://www.photoshop.com/accounts/dde9a78a590842e58bcf1fe233f8eff1/px-assets/ea5aa46d9a534c869ff1be306c1a6c62" TargetMode="External"/><Relationship Id="rId39" Type="http://schemas.openxmlformats.org/officeDocument/2006/relationships/hyperlink" Target="http://www.photoshop.com/accounts/dde9a78a590842e58bcf1fe233f8eff1/px-assets/384e296a37644c0b863a76e0af64cac1" TargetMode="External"/><Relationship Id="rId21" Type="http://schemas.openxmlformats.org/officeDocument/2006/relationships/hyperlink" Target="http://de.wikipedia.org/wiki/Tremalzo" TargetMode="External"/><Relationship Id="rId34" Type="http://schemas.openxmlformats.org/officeDocument/2006/relationships/hyperlink" Target="http://www.photoshop.com/accounts/dde9a78a590842e58bcf1fe233f8eff1/px-assets/91643b9327bf4ca8959ec8cb85f79d6c" TargetMode="External"/><Relationship Id="rId42" Type="http://schemas.openxmlformats.org/officeDocument/2006/relationships/hyperlink" Target="http://www.photoshop.com/accounts/dde9a78a590842e58bcf1fe233f8eff1/px-assets/1b5627c924444b988db666140868ac34" TargetMode="External"/><Relationship Id="rId47" Type="http://schemas.openxmlformats.org/officeDocument/2006/relationships/hyperlink" Target="http://www.photoshop.com/accounts/dde9a78a590842e58bcf1fe233f8eff1/px-assets/2396e537cd864c02aa0e1881915f76a6" TargetMode="External"/><Relationship Id="rId50" Type="http://schemas.openxmlformats.org/officeDocument/2006/relationships/hyperlink" Target="http://www.quaeldich.de/paesse/sulden/" TargetMode="External"/><Relationship Id="rId55" Type="http://schemas.openxmlformats.org/officeDocument/2006/relationships/hyperlink" Target="http://www.photoshop.com/users/fansoft/assets/b18431b5f57a43c99751001c5169fa93" TargetMode="External"/><Relationship Id="rId63" Type="http://schemas.openxmlformats.org/officeDocument/2006/relationships/hyperlink" Target="http://www.photoshop.com/users/fansoft/assets/202717f034f04b628ccdfded03f3cb42" TargetMode="External"/><Relationship Id="rId68" Type="http://schemas.openxmlformats.org/officeDocument/2006/relationships/hyperlink" Target="http://static.panoramio.com/photos/original/92343172.jpg" TargetMode="External"/><Relationship Id="rId76" Type="http://schemas.openxmlformats.org/officeDocument/2006/relationships/hyperlink" Target="http://static.panoramio.com/photos/original/92343232.jpg" TargetMode="External"/><Relationship Id="rId84" Type="http://schemas.openxmlformats.org/officeDocument/2006/relationships/hyperlink" Target="http://www.photoshop.com/users/fansoft/assets/b68b52fbedb04fcda323b8576b2eddf2" TargetMode="External"/><Relationship Id="rId89" Type="http://schemas.openxmlformats.org/officeDocument/2006/relationships/printerSettings" Target="../printerSettings/printerSettings9.bin"/><Relationship Id="rId7" Type="http://schemas.openxmlformats.org/officeDocument/2006/relationships/hyperlink" Target="http://www.aflenz-buergeralm.at/webcam.php" TargetMode="External"/><Relationship Id="rId71" Type="http://schemas.openxmlformats.org/officeDocument/2006/relationships/hyperlink" Target="http://static.panoramio.com/photos/original/92343199.jpg" TargetMode="External"/><Relationship Id="rId2" Type="http://schemas.openxmlformats.org/officeDocument/2006/relationships/hyperlink" Target="http://www.photoshop.com/accounts/dde9a78a590842e58bcf1fe233f8eff1/px-assets/a62ae47392864346abefc0b3d8f187b8" TargetMode="External"/><Relationship Id="rId16" Type="http://schemas.openxmlformats.org/officeDocument/2006/relationships/hyperlink" Target="http://www.photoshop.com/accounts/dde9a78a590842e58bcf1fe233f8eff1/px-assets/669795a4ffda4585ad5e89cd2183596e" TargetMode="External"/><Relationship Id="rId29" Type="http://schemas.openxmlformats.org/officeDocument/2006/relationships/hyperlink" Target="http://www.photoshop.com/accounts/dde9a78a590842e58bcf1fe233f8eff1/px-assets/e9a74debd8a94c11b4698947b7c591a2" TargetMode="External"/><Relationship Id="rId11" Type="http://schemas.openxmlformats.org/officeDocument/2006/relationships/hyperlink" Target="http://de.wikipedia.org/wiki/Mariazell" TargetMode="External"/><Relationship Id="rId24" Type="http://schemas.openxmlformats.org/officeDocument/2006/relationships/hyperlink" Target="http://www.photoshop.com/accounts/dde9a78a590842e58bcf1fe233f8eff1/px-assets/fc9ebc6175094a15b23e7264e0327df0" TargetMode="External"/><Relationship Id="rId32" Type="http://schemas.openxmlformats.org/officeDocument/2006/relationships/hyperlink" Target="http://www.photoshop.com/accounts/dde9a78a590842e58bcf1fe233f8eff1/px-assets/6eeb18a033c94b06a247181420e2b3d6" TargetMode="External"/><Relationship Id="rId37" Type="http://schemas.openxmlformats.org/officeDocument/2006/relationships/hyperlink" Target="http://www.photoshop.com/accounts/dde9a78a590842e58bcf1fe233f8eff1/px-assets/8eb33f5b4a244222be54e912dfbd59e6" TargetMode="External"/><Relationship Id="rId40" Type="http://schemas.openxmlformats.org/officeDocument/2006/relationships/hyperlink" Target="http://www.photoshop.com/accounts/dde9a78a590842e58bcf1fe233f8eff1/px-assets/8ff9a3887ead482991fcdfe03dfeff4a" TargetMode="External"/><Relationship Id="rId45" Type="http://schemas.openxmlformats.org/officeDocument/2006/relationships/hyperlink" Target="http://www.photoshop.com/accounts/dde9a78a590842e58bcf1fe233f8eff1/px-assets/c75c571a10f4447393af200c814eca11" TargetMode="External"/><Relationship Id="rId53" Type="http://schemas.openxmlformats.org/officeDocument/2006/relationships/hyperlink" Target="http://www.photoshop.com/users/fansoft/assets/bdf1664c5ed44135a67669980a753b9c" TargetMode="External"/><Relationship Id="rId58" Type="http://schemas.openxmlformats.org/officeDocument/2006/relationships/hyperlink" Target="http://www.photoshop.com/users/fansoft/assets/ccee411e634d41a8a8f1b5b16249b998" TargetMode="External"/><Relationship Id="rId66" Type="http://schemas.openxmlformats.org/officeDocument/2006/relationships/hyperlink" Target="http://static.panoramio.com/photos/original/92343159.jpg" TargetMode="External"/><Relationship Id="rId74" Type="http://schemas.openxmlformats.org/officeDocument/2006/relationships/hyperlink" Target="http://static.panoramio.com/photos/original/92343217.jpg" TargetMode="External"/><Relationship Id="rId79" Type="http://schemas.openxmlformats.org/officeDocument/2006/relationships/hyperlink" Target="http://www.photoshop.com/accounts/dde9a78a590842e58bcf1fe233f8eff1/px-assets/024eabbd8ea24bdb928b349b2dc7b29e" TargetMode="External"/><Relationship Id="rId87" Type="http://schemas.openxmlformats.org/officeDocument/2006/relationships/hyperlink" Target="http://static.panoramio.com/photos/original/92343212.jpg" TargetMode="External"/><Relationship Id="rId5" Type="http://schemas.openxmlformats.org/officeDocument/2006/relationships/hyperlink" Target="http://www.photoshop.com/accounts/dde9a78a590842e58bcf1fe233f8eff1/px-assets/348ec7cf7569472690c3ec8eceba7ff9" TargetMode="External"/><Relationship Id="rId61" Type="http://schemas.openxmlformats.org/officeDocument/2006/relationships/hyperlink" Target="http://www.photoshop.com/users/fansoft/assets/d9fb71150469406d93198c16ba273c5c" TargetMode="External"/><Relationship Id="rId82" Type="http://schemas.openxmlformats.org/officeDocument/2006/relationships/hyperlink" Target="http://www.photoshop.com/accounts/dde9a78a590842e58bcf1fe233f8eff1/px-assets/8ff9a3887ead482991fcdfe03dfeff4a" TargetMode="External"/><Relationship Id="rId90" Type="http://schemas.openxmlformats.org/officeDocument/2006/relationships/vmlDrawing" Target="../drawings/vmlDrawing15.vml"/><Relationship Id="rId19" Type="http://schemas.openxmlformats.org/officeDocument/2006/relationships/hyperlink" Target="http://de.wikipedia.org/wiki/Pico_de_las_Nieves" TargetMode="External"/><Relationship Id="rId14" Type="http://schemas.openxmlformats.org/officeDocument/2006/relationships/hyperlink" Target="http://www.photoshop.com/accounts/dde9a78a590842e58bcf1fe233f8eff1/px-assets/4fa39d9834104f509ce1de256eceb432" TargetMode="External"/><Relationship Id="rId22" Type="http://schemas.openxmlformats.org/officeDocument/2006/relationships/hyperlink" Target="http://de.wikipedia.org/wiki/Monte_Baldo" TargetMode="External"/><Relationship Id="rId27" Type="http://schemas.openxmlformats.org/officeDocument/2006/relationships/hyperlink" Target="http://www.photoshop.com/accounts/dde9a78a590842e58bcf1fe233f8eff1/px-assets/542a531bdda1417d81c368e8260a242b" TargetMode="External"/><Relationship Id="rId30" Type="http://schemas.openxmlformats.org/officeDocument/2006/relationships/hyperlink" Target="http://www.photoshop.com/accounts/dde9a78a590842e58bcf1fe233f8eff1/px-assets/5cce0df023d04ba7bcbe8a636c7aa248" TargetMode="External"/><Relationship Id="rId35" Type="http://schemas.openxmlformats.org/officeDocument/2006/relationships/hyperlink" Target="http://www.photoshop.com/accounts/dde9a78a590842e58bcf1fe233f8eff1/px-assets/ea5aa46d9a534c869ff1be306c1a6c62" TargetMode="External"/><Relationship Id="rId43" Type="http://schemas.openxmlformats.org/officeDocument/2006/relationships/hyperlink" Target="http://www.photoshop.com/accounts/dde9a78a590842e58bcf1fe233f8eff1/px-assets/e193a2d68ae6424a90b4db10aff380eb" TargetMode="External"/><Relationship Id="rId48" Type="http://schemas.openxmlformats.org/officeDocument/2006/relationships/hyperlink" Target="http://www.photoshop.com/accounts/dde9a78a590842e58bcf1fe233f8eff1/px-assets/2396e537cd864c02aa0e1881915f76a6" TargetMode="External"/><Relationship Id="rId56" Type="http://schemas.openxmlformats.org/officeDocument/2006/relationships/hyperlink" Target="http://www.photoshop.com/users/fansoft/assets/72edecbfbae0448c87b27b81fe8e265f" TargetMode="External"/><Relationship Id="rId64" Type="http://schemas.openxmlformats.org/officeDocument/2006/relationships/hyperlink" Target="http://www.photoshop.com/users/fansoft/assets/7253ff712a9247d1bb92384fa8cc7bc8" TargetMode="External"/><Relationship Id="rId69" Type="http://schemas.openxmlformats.org/officeDocument/2006/relationships/hyperlink" Target="http://static.panoramio.com/photos/original/92343181.jpg" TargetMode="External"/><Relationship Id="rId77" Type="http://schemas.openxmlformats.org/officeDocument/2006/relationships/hyperlink" Target="http://www.photoshop.com/accounts/dde9a78a590842e58bcf1fe233f8eff1/px-assets/daea079f6ad04760bf39871ac4514d43" TargetMode="External"/><Relationship Id="rId8" Type="http://schemas.openxmlformats.org/officeDocument/2006/relationships/hyperlink" Target="http://de.wikipedia.org/wiki/Stuhleck" TargetMode="External"/><Relationship Id="rId51" Type="http://schemas.openxmlformats.org/officeDocument/2006/relationships/hyperlink" Target="http://www.quaeldich.de/paesse/ofenpass/" TargetMode="External"/><Relationship Id="rId72" Type="http://schemas.openxmlformats.org/officeDocument/2006/relationships/hyperlink" Target="http://static.panoramio.com/photos/original/92343204.jpg" TargetMode="External"/><Relationship Id="rId80" Type="http://schemas.openxmlformats.org/officeDocument/2006/relationships/hyperlink" Target="http://www.photoshop.com/accounts/dde9a78a590842e58bcf1fe233f8eff1/px-assets/6eeb18a033c94b06a247181420e2b3d6" TargetMode="External"/><Relationship Id="rId85" Type="http://schemas.openxmlformats.org/officeDocument/2006/relationships/hyperlink" Target="http://www.photoshop.com/users/fansoft/assets/202717f034f04b628ccdfded03f3cb42" TargetMode="External"/><Relationship Id="rId3" Type="http://schemas.openxmlformats.org/officeDocument/2006/relationships/hyperlink" Target="http://www.photoshop.com/accounts/dde9a78a590842e58bcf1fe233f8eff1/px-assets/24e724604c5541dd98a1d010cc43e2f3" TargetMode="External"/><Relationship Id="rId12" Type="http://schemas.openxmlformats.org/officeDocument/2006/relationships/hyperlink" Target="http://de.wikipedia.org/wiki/Langenwang" TargetMode="External"/><Relationship Id="rId17" Type="http://schemas.openxmlformats.org/officeDocument/2006/relationships/hyperlink" Target="http://www.photoshop.com/accounts/dde9a78a590842e58bcf1fe233f8eff1/px-assets/ab53cdf1d49a4ed58b2790462e3c82bc" TargetMode="External"/><Relationship Id="rId25" Type="http://schemas.openxmlformats.org/officeDocument/2006/relationships/hyperlink" Target="http://www.photoshop.com/accounts/dde9a78a590842e58bcf1fe233f8eff1/px-assets/024eabbd8ea24bdb928b349b2dc7b29e" TargetMode="External"/><Relationship Id="rId33" Type="http://schemas.openxmlformats.org/officeDocument/2006/relationships/hyperlink" Target="http://www.photoshop.com/accounts/dde9a78a590842e58bcf1fe233f8eff1/px-assets/b9e2dcb5685b41b0955a40ded5609147" TargetMode="External"/><Relationship Id="rId38" Type="http://schemas.openxmlformats.org/officeDocument/2006/relationships/hyperlink" Target="http://www.photoshop.com/accounts/dde9a78a590842e58bcf1fe233f8eff1/px-assets/87b887f3ce1b4f96920bea74121ed084" TargetMode="External"/><Relationship Id="rId46" Type="http://schemas.openxmlformats.org/officeDocument/2006/relationships/hyperlink" Target="http://www.photoshop.com/accounts/dde9a78a590842e58bcf1fe233f8eff1/px-assets/b24ec4702ca54ef0abfe606da5011d38" TargetMode="External"/><Relationship Id="rId59" Type="http://schemas.openxmlformats.org/officeDocument/2006/relationships/hyperlink" Target="http://www.photoshop.com/users/fansoft/assets/b68b52fbedb04fcda323b8576b2eddf2" TargetMode="External"/><Relationship Id="rId67" Type="http://schemas.openxmlformats.org/officeDocument/2006/relationships/hyperlink" Target="http://static.panoramio.com/photos/original/92343166.jpg" TargetMode="External"/><Relationship Id="rId20" Type="http://schemas.openxmlformats.org/officeDocument/2006/relationships/hyperlink" Target="http://www.photoshop.com/accounts/dde9a78a590842e58bcf1fe233f8eff1/px-assets/3362e799c0c3416ebc100b42ff0a5306" TargetMode="External"/><Relationship Id="rId41" Type="http://schemas.openxmlformats.org/officeDocument/2006/relationships/hyperlink" Target="http://www.photoshop.com/accounts/dde9a78a590842e58bcf1fe233f8eff1/px-assets/155bd47f7f494cec8eddcf74efee59ee" TargetMode="External"/><Relationship Id="rId54" Type="http://schemas.openxmlformats.org/officeDocument/2006/relationships/hyperlink" Target="http://www.photoshop.com/users/fansoft/assets/d472439f76fd44cc81f7753cd2250f5a" TargetMode="External"/><Relationship Id="rId62" Type="http://schemas.openxmlformats.org/officeDocument/2006/relationships/hyperlink" Target="http://www.photoshop.com/users/fansoft/assets/724cd99eaeb245faaf9dd62f34d6644e" TargetMode="External"/><Relationship Id="rId70" Type="http://schemas.openxmlformats.org/officeDocument/2006/relationships/hyperlink" Target="http://static.panoramio.com/photos/original/92343190.jpg" TargetMode="External"/><Relationship Id="rId75" Type="http://schemas.openxmlformats.org/officeDocument/2006/relationships/hyperlink" Target="http://static.panoramio.com/photos/original/92343227.jpg" TargetMode="External"/><Relationship Id="rId83" Type="http://schemas.openxmlformats.org/officeDocument/2006/relationships/hyperlink" Target="http://www.photoshop.com/users/fansoft/assets/ccee411e634d41a8a8f1b5b16249b998" TargetMode="External"/><Relationship Id="rId88" Type="http://schemas.openxmlformats.org/officeDocument/2006/relationships/hyperlink" Target="http://www.photoshop.com/accounts/dde9a78a590842e58bcf1fe233f8eff1/px-assets/daea079f6ad04760bf39871ac4514d43" TargetMode="External"/><Relationship Id="rId91" Type="http://schemas.openxmlformats.org/officeDocument/2006/relationships/comments" Target="../comments15.xml"/><Relationship Id="rId1" Type="http://schemas.openxmlformats.org/officeDocument/2006/relationships/hyperlink" Target="http://fansoft.gmxhome.de/biketours/jable_1230.jpg" TargetMode="External"/><Relationship Id="rId6" Type="http://schemas.openxmlformats.org/officeDocument/2006/relationships/hyperlink" Target="http://www.photoshop.com/accounts/dde9a78a590842e58bcf1fe233f8eff1/px-assets/31c546fd18f34ad5836405a50984ff8a" TargetMode="External"/><Relationship Id="rId15" Type="http://schemas.openxmlformats.org/officeDocument/2006/relationships/hyperlink" Target="http://www.photoshop.com/accounts/dde9a78a590842e58bcf1fe233f8eff1/px-assets/3df6fa12c4b443a59e0c45b992e4109f" TargetMode="External"/><Relationship Id="rId23" Type="http://schemas.openxmlformats.org/officeDocument/2006/relationships/hyperlink" Target="http://www.photoshop.com/accounts/dde9a78a590842e58bcf1fe233f8eff1/px-assets/4811015bb1a94553bc1adce85b0e727a" TargetMode="External"/><Relationship Id="rId28" Type="http://schemas.openxmlformats.org/officeDocument/2006/relationships/hyperlink" Target="http://www.photoshop.com/accounts/dde9a78a590842e58bcf1fe233f8eff1/px-assets/daea079f6ad04760bf39871ac4514d43" TargetMode="External"/><Relationship Id="rId36" Type="http://schemas.openxmlformats.org/officeDocument/2006/relationships/hyperlink" Target="http://www.photoshop.com/accounts/dde9a78a590842e58bcf1fe233f8eff1/px-assets/0a10203974c644b68b2151c11950eaa8" TargetMode="External"/><Relationship Id="rId49" Type="http://schemas.openxmlformats.org/officeDocument/2006/relationships/hyperlink" Target="http://www.quaeldich.de/paesse/stilfser-joch/" TargetMode="External"/><Relationship Id="rId57" Type="http://schemas.openxmlformats.org/officeDocument/2006/relationships/hyperlink" Target="http://www.photoshop.com/users/fansoft/assets/4f06676a68704deb99b3b3550e4f4742" TargetMode="External"/><Relationship Id="rId10" Type="http://schemas.openxmlformats.org/officeDocument/2006/relationships/hyperlink" Target="http://de.wikipedia.org/wiki/Fischbach_%28Steiermark%29" TargetMode="External"/><Relationship Id="rId31" Type="http://schemas.openxmlformats.org/officeDocument/2006/relationships/hyperlink" Target="http://www.photoshop.com/accounts/dde9a78a590842e58bcf1fe233f8eff1/px-assets/e8d50a1b3a9c4a29b14bc340d3f20314" TargetMode="External"/><Relationship Id="rId44" Type="http://schemas.openxmlformats.org/officeDocument/2006/relationships/hyperlink" Target="http://www.photoshop.com/accounts/dde9a78a590842e58bcf1fe233f8eff1/px-assets/e456368abf384091bb8d65ab3e5bf792" TargetMode="External"/><Relationship Id="rId52" Type="http://schemas.openxmlformats.org/officeDocument/2006/relationships/hyperlink" Target="http://www.photoshop.com/users/fansoft/assets/ccc92e92b32c4481ae826e77e03875d3" TargetMode="External"/><Relationship Id="rId60" Type="http://schemas.openxmlformats.org/officeDocument/2006/relationships/hyperlink" Target="http://www.photoshop.com/users/fansoft/assets/3304cda0f71d4a86b30a4fe99f80de2d" TargetMode="External"/><Relationship Id="rId65" Type="http://schemas.openxmlformats.org/officeDocument/2006/relationships/hyperlink" Target="http://www.photoshop.com/users/fansoft/assets/7b6edaf4951e4ee7ba2cbcfa7a005e6a" TargetMode="External"/><Relationship Id="rId73" Type="http://schemas.openxmlformats.org/officeDocument/2006/relationships/hyperlink" Target="http://static.panoramio.com/photos/original/92343212.jpg" TargetMode="External"/><Relationship Id="rId78" Type="http://schemas.openxmlformats.org/officeDocument/2006/relationships/hyperlink" Target="http://www.photoshop.com/accounts/dde9a78a590842e58bcf1fe233f8eff1/px-assets/e8d50a1b3a9c4a29b14bc340d3f20314" TargetMode="External"/><Relationship Id="rId81" Type="http://schemas.openxmlformats.org/officeDocument/2006/relationships/hyperlink" Target="http://www.photoshop.com/accounts/dde9a78a590842e58bcf1fe233f8eff1/px-assets/87b887f3ce1b4f96920bea74121ed084" TargetMode="External"/><Relationship Id="rId86" Type="http://schemas.openxmlformats.org/officeDocument/2006/relationships/hyperlink" Target="http://www.photoshop.com/users/fansoft/assets/7b6edaf4951e4ee7ba2cbcfa7a005e6a" TargetMode="External"/><Relationship Id="rId4" Type="http://schemas.openxmlformats.org/officeDocument/2006/relationships/hyperlink" Target="http://www.photoshop.com/accounts/dde9a78a590842e58bcf1fe233f8eff1/px-assets/64ff5d4abb25486aa7b306dd01fbdab4" TargetMode="External"/><Relationship Id="rId9" Type="http://schemas.openxmlformats.org/officeDocument/2006/relationships/hyperlink" Target="http://www.alpentour-austria.info/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fansoft.gmxhome.de/biketours/normalstartpunkt.kmz" TargetMode="External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hyperlink" Target="http://www.n-tv.de/wetter/8-tage-wetter/?s=Miltenberg+%2863897%2C+Bayern%29&amp;id=18227707" TargetMode="External"/><Relationship Id="rId1" Type="http://schemas.openxmlformats.org/officeDocument/2006/relationships/hyperlink" Target="http://fansoft.gmxhome.de/biketours/normalstartpunkt.kmz" TargetMode="External"/><Relationship Id="rId4" Type="http://schemas.openxmlformats.org/officeDocument/2006/relationships/comments" Target="../comments27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hyperlink" Target="http://fansoft.gmxhome.de/biketours/normalstartpunkt.kmz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fansoft.gmxhome.de/biketours/normalstartpunkt.kmz" TargetMode="Externa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hyperlink" Target="http://fansoft.gmxhome.de/biketours/normalstartpunkt.kmz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hyperlink" Target="http://fansoft.gmxhome.de/biketours/normalstartpunkt.kmz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hyperlink" Target="http://fansoft.gmxhome.de/biketours/normalstartpunkt.kmz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hyperlink" Target="http://fansoft.gmxhome.de/biketours/normalstartpunkt.kmz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hyperlink" Target="http://fansoft.gmxhome.de/biketours/normalstartpunkt.km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39997558519241921"/>
  </sheetPr>
  <dimension ref="A1:O4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" sqref="G1"/>
    </sheetView>
  </sheetViews>
  <sheetFormatPr baseColWidth="10" defaultColWidth="11.42578125" defaultRowHeight="12.75" x14ac:dyDescent="0.2"/>
  <cols>
    <col min="1" max="1" width="28.42578125" style="1" customWidth="1"/>
    <col min="2" max="2" width="9.28515625" style="2" customWidth="1"/>
    <col min="3" max="3" width="8.28515625" style="11" customWidth="1"/>
    <col min="4" max="4" width="8" customWidth="1"/>
    <col min="5" max="5" width="9.42578125" style="12" customWidth="1"/>
    <col min="6" max="7" width="10.28515625" bestFit="1" customWidth="1"/>
    <col min="8" max="8" width="5.85546875" customWidth="1"/>
    <col min="9" max="9" width="9.140625" style="18" bestFit="1" customWidth="1"/>
    <col min="10" max="10" width="11.85546875" style="227" bestFit="1" customWidth="1"/>
    <col min="11" max="14" width="2.28515625" style="5" bestFit="1" customWidth="1"/>
    <col min="15" max="15" width="4.5703125" style="11" bestFit="1" customWidth="1"/>
  </cols>
  <sheetData>
    <row r="1" spans="1:15" s="160" customFormat="1" x14ac:dyDescent="0.2">
      <c r="A1" s="197" t="s">
        <v>55</v>
      </c>
      <c r="B1" s="75" t="s">
        <v>0</v>
      </c>
      <c r="C1" s="232" t="s">
        <v>243</v>
      </c>
      <c r="D1" s="76" t="s">
        <v>2</v>
      </c>
      <c r="E1" s="79" t="s">
        <v>242</v>
      </c>
      <c r="F1" s="76" t="s">
        <v>24</v>
      </c>
      <c r="G1" s="368" t="s">
        <v>1</v>
      </c>
      <c r="H1" s="24" t="s">
        <v>3</v>
      </c>
      <c r="I1" s="79" t="s">
        <v>22</v>
      </c>
      <c r="J1" s="157" t="s">
        <v>87</v>
      </c>
      <c r="K1" s="158" t="s">
        <v>249</v>
      </c>
      <c r="L1" s="158" t="s">
        <v>250</v>
      </c>
      <c r="M1" s="158" t="s">
        <v>251</v>
      </c>
      <c r="N1" s="158" t="s">
        <v>252</v>
      </c>
      <c r="O1" s="159" t="s">
        <v>211</v>
      </c>
    </row>
    <row r="2" spans="1:15" x14ac:dyDescent="0.2">
      <c r="A2" s="1" t="s">
        <v>8</v>
      </c>
      <c r="B2" s="2">
        <v>0.15230324074074075</v>
      </c>
      <c r="C2" s="14">
        <v>79.510000000000005</v>
      </c>
      <c r="D2" s="13">
        <v>756</v>
      </c>
      <c r="E2" s="9">
        <v>21.7</v>
      </c>
      <c r="F2" s="13">
        <v>130</v>
      </c>
      <c r="G2" s="13">
        <v>626</v>
      </c>
      <c r="H2" s="6" t="s">
        <v>6</v>
      </c>
      <c r="I2" s="18">
        <f t="shared" ref="I2:I44" si="0">D2/(C2*500)</f>
        <v>1.9016475914979247E-2</v>
      </c>
      <c r="J2" s="227" t="s">
        <v>92</v>
      </c>
      <c r="K2" s="103">
        <v>2</v>
      </c>
      <c r="L2" s="103">
        <v>3</v>
      </c>
      <c r="M2" s="103">
        <v>2</v>
      </c>
      <c r="N2" s="103">
        <v>1</v>
      </c>
      <c r="O2" s="11">
        <f t="shared" ref="O2:O44" si="1">AVERAGE(K2:N2)</f>
        <v>2</v>
      </c>
    </row>
    <row r="3" spans="1:15" x14ac:dyDescent="0.2">
      <c r="A3" s="1" t="s">
        <v>306</v>
      </c>
      <c r="B3" s="2">
        <v>0.1395949074074074</v>
      </c>
      <c r="C3" s="11">
        <v>89.7</v>
      </c>
      <c r="D3" s="13">
        <v>730</v>
      </c>
      <c r="E3" s="12">
        <v>26.7</v>
      </c>
      <c r="F3" s="13">
        <v>130</v>
      </c>
      <c r="G3" s="13">
        <v>600</v>
      </c>
      <c r="H3" s="231" t="s">
        <v>5</v>
      </c>
      <c r="I3" s="18">
        <f t="shared" si="0"/>
        <v>1.6276477146042363E-2</v>
      </c>
      <c r="J3" s="227" t="s">
        <v>92</v>
      </c>
      <c r="K3" s="103">
        <v>3</v>
      </c>
      <c r="L3" s="103">
        <v>2</v>
      </c>
      <c r="M3" s="103">
        <v>2</v>
      </c>
      <c r="N3" s="103">
        <v>2</v>
      </c>
      <c r="O3" s="11">
        <f t="shared" si="1"/>
        <v>2.25</v>
      </c>
    </row>
    <row r="4" spans="1:15" x14ac:dyDescent="0.2">
      <c r="A4" s="1" t="s">
        <v>9</v>
      </c>
      <c r="B4" s="2">
        <v>0.11458333333333333</v>
      </c>
      <c r="C4" s="11">
        <v>74.680000000000007</v>
      </c>
      <c r="D4" s="13">
        <v>787</v>
      </c>
      <c r="E4" s="12">
        <v>27.1</v>
      </c>
      <c r="F4" s="8">
        <v>129</v>
      </c>
      <c r="G4" s="8">
        <v>586</v>
      </c>
      <c r="H4" s="6" t="s">
        <v>5</v>
      </c>
      <c r="I4" s="18">
        <f t="shared" si="0"/>
        <v>2.1076593465452598E-2</v>
      </c>
      <c r="J4" s="227" t="s">
        <v>93</v>
      </c>
      <c r="K4" s="103">
        <v>2</v>
      </c>
      <c r="L4" s="103">
        <v>2</v>
      </c>
      <c r="M4" s="103">
        <v>2</v>
      </c>
      <c r="N4" s="103">
        <v>2</v>
      </c>
      <c r="O4" s="11">
        <f t="shared" si="1"/>
        <v>2</v>
      </c>
    </row>
    <row r="5" spans="1:15" x14ac:dyDescent="0.2">
      <c r="A5" s="1" t="s">
        <v>445</v>
      </c>
      <c r="B5" s="2">
        <v>0.1277777777777778</v>
      </c>
      <c r="C5" s="3">
        <v>69.7</v>
      </c>
      <c r="D5" s="84">
        <v>778</v>
      </c>
      <c r="E5" s="12">
        <v>22.7</v>
      </c>
      <c r="F5" s="13">
        <v>130</v>
      </c>
      <c r="G5" s="13">
        <v>585</v>
      </c>
      <c r="H5" s="6" t="s">
        <v>398</v>
      </c>
      <c r="I5" s="18">
        <f t="shared" si="0"/>
        <v>2.2324246771879483E-2</v>
      </c>
      <c r="J5" s="227" t="s">
        <v>92</v>
      </c>
      <c r="K5" s="5">
        <v>3</v>
      </c>
      <c r="L5" s="5">
        <v>2</v>
      </c>
      <c r="M5" s="5">
        <v>2</v>
      </c>
      <c r="N5" s="5">
        <v>1</v>
      </c>
      <c r="O5" s="11">
        <f t="shared" si="1"/>
        <v>2</v>
      </c>
    </row>
    <row r="6" spans="1:15" x14ac:dyDescent="0.2">
      <c r="A6" s="1" t="s">
        <v>10</v>
      </c>
      <c r="B6" s="2">
        <v>9.0254629629629643E-2</v>
      </c>
      <c r="C6" s="14">
        <v>59.44</v>
      </c>
      <c r="D6" s="13">
        <v>551</v>
      </c>
      <c r="E6" s="12">
        <v>27.4</v>
      </c>
      <c r="F6" s="13">
        <v>130</v>
      </c>
      <c r="G6" s="13">
        <v>581</v>
      </c>
      <c r="H6" s="6" t="s">
        <v>5</v>
      </c>
      <c r="I6" s="18">
        <f t="shared" si="0"/>
        <v>1.8539703903095558E-2</v>
      </c>
      <c r="J6" s="227" t="s">
        <v>92</v>
      </c>
      <c r="K6" s="103">
        <v>2</v>
      </c>
      <c r="L6" s="103">
        <v>2</v>
      </c>
      <c r="M6" s="103">
        <v>2</v>
      </c>
      <c r="N6" s="103">
        <v>2</v>
      </c>
      <c r="O6" s="11">
        <f t="shared" si="1"/>
        <v>2</v>
      </c>
    </row>
    <row r="7" spans="1:15" x14ac:dyDescent="0.2">
      <c r="A7" s="1" t="s">
        <v>535</v>
      </c>
      <c r="B7" s="2">
        <v>0.10284722222222221</v>
      </c>
      <c r="C7" s="11">
        <v>61.69</v>
      </c>
      <c r="D7" s="13">
        <v>575</v>
      </c>
      <c r="E7" s="12">
        <v>24.9</v>
      </c>
      <c r="F7" s="13">
        <v>130</v>
      </c>
      <c r="G7" s="13">
        <v>568</v>
      </c>
      <c r="H7" s="231" t="s">
        <v>5</v>
      </c>
      <c r="I7" s="18">
        <f t="shared" si="0"/>
        <v>1.8641595072134868E-2</v>
      </c>
      <c r="J7" s="227" t="s">
        <v>92</v>
      </c>
      <c r="K7" s="5">
        <v>3</v>
      </c>
      <c r="L7" s="5">
        <v>2</v>
      </c>
      <c r="M7" s="5">
        <v>2</v>
      </c>
      <c r="N7" s="5">
        <v>2</v>
      </c>
      <c r="O7" s="11">
        <f t="shared" si="1"/>
        <v>2.25</v>
      </c>
    </row>
    <row r="8" spans="1:15" x14ac:dyDescent="0.2">
      <c r="A8" s="1" t="s">
        <v>465</v>
      </c>
      <c r="B8" s="2">
        <v>0.10238095238095238</v>
      </c>
      <c r="C8" s="120">
        <v>51.6</v>
      </c>
      <c r="D8" s="13">
        <v>592</v>
      </c>
      <c r="E8" s="9">
        <v>21</v>
      </c>
      <c r="F8" s="13">
        <v>130</v>
      </c>
      <c r="G8" s="13">
        <v>560</v>
      </c>
      <c r="H8" s="6" t="s">
        <v>6</v>
      </c>
      <c r="I8" s="18">
        <f t="shared" si="0"/>
        <v>2.2945736434108528E-2</v>
      </c>
      <c r="J8" s="227" t="s">
        <v>92</v>
      </c>
      <c r="K8" s="103">
        <v>2</v>
      </c>
      <c r="L8" s="103">
        <v>3</v>
      </c>
      <c r="M8" s="103">
        <v>1</v>
      </c>
      <c r="N8" s="103">
        <v>2</v>
      </c>
      <c r="O8" s="11">
        <f t="shared" si="1"/>
        <v>2</v>
      </c>
    </row>
    <row r="9" spans="1:15" x14ac:dyDescent="0.2">
      <c r="A9" s="1" t="s">
        <v>153</v>
      </c>
      <c r="B9" s="2">
        <v>0.11458333333333333</v>
      </c>
      <c r="C9" s="3">
        <v>55.6</v>
      </c>
      <c r="D9" s="5">
        <v>600</v>
      </c>
      <c r="E9" s="12">
        <v>20.2</v>
      </c>
      <c r="F9" s="13">
        <v>130</v>
      </c>
      <c r="G9" s="13">
        <v>554</v>
      </c>
      <c r="H9" s="6" t="s">
        <v>6</v>
      </c>
      <c r="I9" s="18">
        <f t="shared" si="0"/>
        <v>2.1582733812949641E-2</v>
      </c>
      <c r="J9" s="227" t="s">
        <v>92</v>
      </c>
      <c r="K9" s="5">
        <v>3</v>
      </c>
      <c r="L9" s="5">
        <v>2</v>
      </c>
      <c r="M9" s="5">
        <v>2</v>
      </c>
      <c r="N9" s="5">
        <v>1</v>
      </c>
      <c r="O9" s="11">
        <f t="shared" si="1"/>
        <v>2</v>
      </c>
    </row>
    <row r="10" spans="1:15" x14ac:dyDescent="0.2">
      <c r="A10" s="1" t="s">
        <v>687</v>
      </c>
      <c r="B10" s="2">
        <v>0.10312500000000001</v>
      </c>
      <c r="C10" s="3">
        <v>51.7</v>
      </c>
      <c r="D10" s="8">
        <v>640</v>
      </c>
      <c r="E10" s="12">
        <v>20.9</v>
      </c>
      <c r="F10" s="13">
        <v>130</v>
      </c>
      <c r="G10" s="13">
        <v>553</v>
      </c>
      <c r="H10" s="6" t="s">
        <v>645</v>
      </c>
      <c r="I10" s="18">
        <f t="shared" si="0"/>
        <v>2.4758220502901353E-2</v>
      </c>
      <c r="J10" s="227" t="s">
        <v>92</v>
      </c>
      <c r="K10" s="5">
        <v>3</v>
      </c>
      <c r="L10" s="5">
        <v>2</v>
      </c>
      <c r="M10" s="5">
        <v>2</v>
      </c>
      <c r="N10" s="5">
        <v>2</v>
      </c>
      <c r="O10" s="11">
        <f t="shared" si="1"/>
        <v>2.25</v>
      </c>
    </row>
    <row r="11" spans="1:15" x14ac:dyDescent="0.2">
      <c r="A11" s="1" t="s">
        <v>591</v>
      </c>
      <c r="B11" s="2">
        <v>8.5231481481481478E-2</v>
      </c>
      <c r="C11" s="14">
        <v>56.37</v>
      </c>
      <c r="D11" s="13">
        <v>445</v>
      </c>
      <c r="E11" s="12">
        <v>27.5</v>
      </c>
      <c r="F11" s="8">
        <v>130</v>
      </c>
      <c r="G11" s="8">
        <v>547</v>
      </c>
      <c r="H11" s="6" t="s">
        <v>5</v>
      </c>
      <c r="I11" s="18">
        <f t="shared" si="0"/>
        <v>1.5788540003547985E-2</v>
      </c>
      <c r="J11" s="227" t="s">
        <v>92</v>
      </c>
      <c r="K11" s="103">
        <v>2</v>
      </c>
      <c r="L11" s="103">
        <v>2</v>
      </c>
      <c r="M11" s="103">
        <v>2</v>
      </c>
      <c r="N11" s="103">
        <v>2</v>
      </c>
      <c r="O11" s="11">
        <f t="shared" si="1"/>
        <v>2</v>
      </c>
    </row>
    <row r="12" spans="1:15" x14ac:dyDescent="0.2">
      <c r="A12" s="1" t="s">
        <v>195</v>
      </c>
      <c r="B12" s="2">
        <v>6.805555555555555E-2</v>
      </c>
      <c r="C12" s="3">
        <v>45.16</v>
      </c>
      <c r="D12" s="13">
        <v>476</v>
      </c>
      <c r="E12" s="12">
        <v>27.7</v>
      </c>
      <c r="F12" s="13">
        <v>130</v>
      </c>
      <c r="G12" s="13">
        <v>544</v>
      </c>
      <c r="H12" s="6" t="s">
        <v>5</v>
      </c>
      <c r="I12" s="18">
        <f t="shared" si="0"/>
        <v>2.1080602302922941E-2</v>
      </c>
      <c r="J12" s="227" t="s">
        <v>92</v>
      </c>
      <c r="K12" s="103">
        <v>1</v>
      </c>
      <c r="L12" s="103">
        <v>3</v>
      </c>
      <c r="M12" s="103">
        <v>3</v>
      </c>
      <c r="N12" s="103">
        <v>2</v>
      </c>
      <c r="O12" s="11">
        <f t="shared" si="1"/>
        <v>2.25</v>
      </c>
    </row>
    <row r="13" spans="1:15" x14ac:dyDescent="0.2">
      <c r="A13" s="1" t="s">
        <v>617</v>
      </c>
      <c r="B13" s="2">
        <v>9.7222222222222224E-2</v>
      </c>
      <c r="C13" s="11">
        <v>53.300000000000004</v>
      </c>
      <c r="D13" s="13">
        <v>640</v>
      </c>
      <c r="E13" s="12">
        <v>22.8</v>
      </c>
      <c r="F13" s="13">
        <v>130</v>
      </c>
      <c r="G13" s="13">
        <v>532</v>
      </c>
      <c r="H13" s="6" t="s">
        <v>398</v>
      </c>
      <c r="I13" s="18">
        <f t="shared" si="0"/>
        <v>2.4015009380863036E-2</v>
      </c>
      <c r="J13" s="227" t="s">
        <v>92</v>
      </c>
      <c r="K13" s="5">
        <v>2</v>
      </c>
      <c r="L13" s="5">
        <v>1</v>
      </c>
      <c r="M13" s="5">
        <v>2</v>
      </c>
      <c r="N13" s="5">
        <v>1</v>
      </c>
      <c r="O13" s="11">
        <f t="shared" si="1"/>
        <v>1.5</v>
      </c>
    </row>
    <row r="14" spans="1:15" x14ac:dyDescent="0.2">
      <c r="A14" s="1" t="s">
        <v>769</v>
      </c>
      <c r="B14" s="2">
        <v>8.8888888888888892E-2</v>
      </c>
      <c r="C14" s="14">
        <v>50.6</v>
      </c>
      <c r="D14" s="13">
        <v>420</v>
      </c>
      <c r="E14" s="12">
        <v>23.71875</v>
      </c>
      <c r="F14" s="13">
        <v>130</v>
      </c>
      <c r="G14" s="13">
        <v>530</v>
      </c>
      <c r="H14" s="6" t="s">
        <v>5</v>
      </c>
      <c r="I14" s="18">
        <f t="shared" si="0"/>
        <v>1.6600790513833993E-2</v>
      </c>
      <c r="J14" s="227" t="s">
        <v>92</v>
      </c>
      <c r="K14" s="5">
        <v>2</v>
      </c>
      <c r="L14" s="5">
        <v>2</v>
      </c>
      <c r="M14" s="5">
        <v>2</v>
      </c>
      <c r="N14" s="5">
        <v>2</v>
      </c>
      <c r="O14" s="11">
        <f t="shared" si="1"/>
        <v>2</v>
      </c>
    </row>
    <row r="15" spans="1:15" x14ac:dyDescent="0.2">
      <c r="A15" s="1" t="s">
        <v>834</v>
      </c>
      <c r="B15" s="2">
        <v>0.11173300165837477</v>
      </c>
      <c r="C15" s="11">
        <v>53.9</v>
      </c>
      <c r="D15">
        <v>585</v>
      </c>
      <c r="E15" s="12">
        <v>20.100000000000001</v>
      </c>
      <c r="F15" s="13">
        <v>130</v>
      </c>
      <c r="G15" s="13">
        <v>527</v>
      </c>
      <c r="H15" s="6" t="s">
        <v>645</v>
      </c>
      <c r="I15" s="18">
        <f t="shared" si="0"/>
        <v>2.170686456400742E-2</v>
      </c>
      <c r="J15" s="227" t="s">
        <v>92</v>
      </c>
      <c r="K15" s="5">
        <v>3</v>
      </c>
      <c r="L15" s="5">
        <v>1</v>
      </c>
      <c r="M15" s="5">
        <v>2</v>
      </c>
      <c r="N15" s="5">
        <v>1</v>
      </c>
      <c r="O15" s="11">
        <f t="shared" si="1"/>
        <v>1.75</v>
      </c>
    </row>
    <row r="16" spans="1:15" x14ac:dyDescent="0.2">
      <c r="A16" s="1" t="s">
        <v>11</v>
      </c>
      <c r="B16" s="2">
        <v>9.5833333333333326E-2</v>
      </c>
      <c r="C16" s="14">
        <v>59.74</v>
      </c>
      <c r="D16" s="13">
        <v>658</v>
      </c>
      <c r="E16" s="12">
        <v>25.9</v>
      </c>
      <c r="F16" s="13">
        <v>129</v>
      </c>
      <c r="G16" s="13">
        <v>523</v>
      </c>
      <c r="H16" s="6" t="s">
        <v>5</v>
      </c>
      <c r="I16" s="18">
        <f t="shared" si="0"/>
        <v>2.2028791429527954E-2</v>
      </c>
      <c r="J16" s="227" t="s">
        <v>93</v>
      </c>
      <c r="K16" s="103">
        <v>2</v>
      </c>
      <c r="L16" s="103">
        <v>2</v>
      </c>
      <c r="M16" s="103">
        <v>2</v>
      </c>
      <c r="N16" s="103">
        <v>1</v>
      </c>
      <c r="O16" s="11">
        <f t="shared" si="1"/>
        <v>1.75</v>
      </c>
    </row>
    <row r="17" spans="1:15" x14ac:dyDescent="0.2">
      <c r="A17" s="1" t="s">
        <v>54</v>
      </c>
      <c r="B17" s="2">
        <v>6.1122685185185183E-2</v>
      </c>
      <c r="C17" s="14">
        <v>37.44</v>
      </c>
      <c r="D17" s="8">
        <v>425</v>
      </c>
      <c r="E17" s="9">
        <v>25.5</v>
      </c>
      <c r="F17" s="13">
        <v>130</v>
      </c>
      <c r="G17" s="13">
        <v>516</v>
      </c>
      <c r="H17" s="6" t="s">
        <v>5</v>
      </c>
      <c r="I17" s="18">
        <f t="shared" si="0"/>
        <v>2.2702991452991452E-2</v>
      </c>
      <c r="J17" s="227" t="s">
        <v>92</v>
      </c>
      <c r="K17" s="103">
        <v>1</v>
      </c>
      <c r="L17" s="103">
        <v>3</v>
      </c>
      <c r="M17" s="103">
        <v>2</v>
      </c>
      <c r="N17" s="103">
        <v>3</v>
      </c>
      <c r="O17" s="11">
        <f t="shared" si="1"/>
        <v>2.25</v>
      </c>
    </row>
    <row r="18" spans="1:15" x14ac:dyDescent="0.2">
      <c r="A18" s="1" t="s">
        <v>255</v>
      </c>
      <c r="B18" s="2">
        <v>8.50462962962963E-2</v>
      </c>
      <c r="C18" s="3">
        <v>48.37</v>
      </c>
      <c r="D18" s="13">
        <v>410</v>
      </c>
      <c r="E18" s="12">
        <v>23.6</v>
      </c>
      <c r="F18" s="13">
        <v>130</v>
      </c>
      <c r="G18" s="13">
        <v>513</v>
      </c>
      <c r="H18" s="6" t="s">
        <v>5</v>
      </c>
      <c r="I18" s="18">
        <f t="shared" si="0"/>
        <v>1.6952656605333884E-2</v>
      </c>
      <c r="J18" s="227" t="s">
        <v>92</v>
      </c>
      <c r="K18" s="103">
        <v>1</v>
      </c>
      <c r="L18" s="103">
        <v>2</v>
      </c>
      <c r="M18" s="103">
        <v>2</v>
      </c>
      <c r="N18" s="103">
        <v>2</v>
      </c>
      <c r="O18" s="11">
        <f t="shared" si="1"/>
        <v>1.75</v>
      </c>
    </row>
    <row r="19" spans="1:15" x14ac:dyDescent="0.2">
      <c r="A19" s="1" t="s">
        <v>12</v>
      </c>
      <c r="B19" s="2">
        <v>6.4317129629629641E-2</v>
      </c>
      <c r="C19" s="3">
        <v>27.96</v>
      </c>
      <c r="D19" s="13">
        <v>439</v>
      </c>
      <c r="E19" s="12">
        <v>18.100000000000001</v>
      </c>
      <c r="F19" s="13">
        <v>129</v>
      </c>
      <c r="G19" s="13">
        <v>512</v>
      </c>
      <c r="H19" s="6" t="s">
        <v>6</v>
      </c>
      <c r="I19" s="18">
        <f t="shared" si="0"/>
        <v>3.1402002861230328E-2</v>
      </c>
      <c r="J19" s="227" t="s">
        <v>93</v>
      </c>
      <c r="K19" s="103">
        <v>1</v>
      </c>
      <c r="L19" s="103">
        <v>2</v>
      </c>
      <c r="M19" s="103">
        <v>2</v>
      </c>
      <c r="N19" s="103">
        <v>2</v>
      </c>
      <c r="O19" s="11">
        <f t="shared" si="1"/>
        <v>1.75</v>
      </c>
    </row>
    <row r="20" spans="1:15" x14ac:dyDescent="0.2">
      <c r="A20" s="1" t="s">
        <v>14</v>
      </c>
      <c r="B20" s="2">
        <v>5.4907407407407405E-2</v>
      </c>
      <c r="C20" s="14">
        <v>30.04</v>
      </c>
      <c r="D20" s="8">
        <v>411</v>
      </c>
      <c r="E20" s="12">
        <v>22.8</v>
      </c>
      <c r="F20" s="13">
        <v>130</v>
      </c>
      <c r="G20" s="13">
        <v>505</v>
      </c>
      <c r="H20" s="6" t="s">
        <v>5</v>
      </c>
      <c r="I20" s="18">
        <f t="shared" si="0"/>
        <v>2.7363515312916111E-2</v>
      </c>
      <c r="J20" s="227" t="s">
        <v>92</v>
      </c>
      <c r="K20" s="103">
        <v>1</v>
      </c>
      <c r="L20" s="103">
        <v>3</v>
      </c>
      <c r="M20" s="103">
        <v>3</v>
      </c>
      <c r="N20" s="103">
        <v>3</v>
      </c>
      <c r="O20" s="11">
        <f t="shared" si="1"/>
        <v>2.5</v>
      </c>
    </row>
    <row r="21" spans="1:15" x14ac:dyDescent="0.2">
      <c r="A21" s="1" t="s">
        <v>13</v>
      </c>
      <c r="B21" s="2">
        <v>6.2465277777777772E-2</v>
      </c>
      <c r="C21" s="14">
        <v>30.66</v>
      </c>
      <c r="D21" s="13">
        <v>392</v>
      </c>
      <c r="E21" s="4">
        <v>20.399999999999999</v>
      </c>
      <c r="F21" s="13">
        <v>130</v>
      </c>
      <c r="G21" s="13">
        <v>505</v>
      </c>
      <c r="H21" s="6" t="s">
        <v>6</v>
      </c>
      <c r="I21" s="18">
        <f t="shared" si="0"/>
        <v>2.5570776255707764E-2</v>
      </c>
      <c r="J21" s="227" t="s">
        <v>92</v>
      </c>
      <c r="K21" s="103">
        <v>2</v>
      </c>
      <c r="L21" s="103">
        <v>2</v>
      </c>
      <c r="M21" s="103">
        <v>2</v>
      </c>
      <c r="N21" s="103">
        <v>2</v>
      </c>
      <c r="O21" s="11">
        <f t="shared" si="1"/>
        <v>2</v>
      </c>
    </row>
    <row r="22" spans="1:15" x14ac:dyDescent="0.2">
      <c r="A22" s="1" t="s">
        <v>162</v>
      </c>
      <c r="B22" s="2">
        <v>6.5532407407407414E-2</v>
      </c>
      <c r="C22" s="3">
        <v>26.53</v>
      </c>
      <c r="D22" s="13">
        <v>385</v>
      </c>
      <c r="E22" s="4">
        <v>16.8</v>
      </c>
      <c r="F22" s="13">
        <v>130</v>
      </c>
      <c r="G22" s="13">
        <v>501</v>
      </c>
      <c r="H22" s="6" t="s">
        <v>6</v>
      </c>
      <c r="I22" s="18">
        <f t="shared" si="0"/>
        <v>2.9023746701846966E-2</v>
      </c>
      <c r="J22" s="226" t="s">
        <v>92</v>
      </c>
      <c r="K22" s="103">
        <v>1</v>
      </c>
      <c r="L22" s="103">
        <v>2</v>
      </c>
      <c r="M22" s="103">
        <v>2</v>
      </c>
      <c r="N22" s="103">
        <v>2</v>
      </c>
      <c r="O22" s="11">
        <f t="shared" si="1"/>
        <v>1.75</v>
      </c>
    </row>
    <row r="23" spans="1:15" x14ac:dyDescent="0.2">
      <c r="A23" s="1" t="s">
        <v>48</v>
      </c>
      <c r="B23" s="2">
        <v>4.2245370370370371E-2</v>
      </c>
      <c r="C23" s="11">
        <v>26.86</v>
      </c>
      <c r="D23" s="13">
        <v>375</v>
      </c>
      <c r="E23" s="12">
        <v>26.4</v>
      </c>
      <c r="F23" s="13">
        <v>130</v>
      </c>
      <c r="G23" s="13">
        <v>495</v>
      </c>
      <c r="H23" s="231" t="s">
        <v>5</v>
      </c>
      <c r="I23" s="18">
        <f t="shared" si="0"/>
        <v>2.7922561429635145E-2</v>
      </c>
      <c r="J23" s="226" t="s">
        <v>92</v>
      </c>
      <c r="K23" s="103">
        <v>1</v>
      </c>
      <c r="L23" s="103">
        <v>3</v>
      </c>
      <c r="M23" s="103">
        <v>2</v>
      </c>
      <c r="N23" s="103">
        <v>3</v>
      </c>
      <c r="O23" s="11">
        <f t="shared" si="1"/>
        <v>2.25</v>
      </c>
    </row>
    <row r="24" spans="1:15" x14ac:dyDescent="0.2">
      <c r="A24" s="1" t="s">
        <v>161</v>
      </c>
      <c r="B24" s="2">
        <v>6.4513888888888885E-2</v>
      </c>
      <c r="C24" s="3">
        <v>25.89</v>
      </c>
      <c r="D24" s="8">
        <v>402</v>
      </c>
      <c r="E24" s="12">
        <v>16.7</v>
      </c>
      <c r="F24" s="13">
        <v>129</v>
      </c>
      <c r="G24" s="13">
        <v>482</v>
      </c>
      <c r="H24" s="231" t="s">
        <v>6</v>
      </c>
      <c r="I24" s="18">
        <f t="shared" si="0"/>
        <v>3.1054461181923523E-2</v>
      </c>
      <c r="J24" s="226" t="s">
        <v>93</v>
      </c>
      <c r="K24" s="103">
        <v>2</v>
      </c>
      <c r="L24" s="103">
        <v>2</v>
      </c>
      <c r="M24" s="103">
        <v>1</v>
      </c>
      <c r="N24" s="103">
        <v>2</v>
      </c>
      <c r="O24" s="11">
        <f t="shared" si="1"/>
        <v>1.75</v>
      </c>
    </row>
    <row r="25" spans="1:15" x14ac:dyDescent="0.2">
      <c r="A25" s="1" t="s">
        <v>15</v>
      </c>
      <c r="B25" s="2">
        <v>5.4594907407407411E-2</v>
      </c>
      <c r="C25" s="3">
        <v>21.93</v>
      </c>
      <c r="D25" s="13">
        <v>380</v>
      </c>
      <c r="E25" s="4">
        <v>16.7</v>
      </c>
      <c r="F25" s="13">
        <v>125</v>
      </c>
      <c r="G25" s="13">
        <v>482</v>
      </c>
      <c r="H25" s="6" t="s">
        <v>6</v>
      </c>
      <c r="I25" s="18">
        <f t="shared" si="0"/>
        <v>3.4655722754217966E-2</v>
      </c>
      <c r="J25" s="226" t="s">
        <v>92</v>
      </c>
      <c r="K25" s="103">
        <v>1</v>
      </c>
      <c r="L25" s="103">
        <v>2</v>
      </c>
      <c r="M25" s="103">
        <v>1</v>
      </c>
      <c r="N25" s="103">
        <v>2</v>
      </c>
      <c r="O25" s="11">
        <f t="shared" si="1"/>
        <v>1.5</v>
      </c>
    </row>
    <row r="26" spans="1:15" x14ac:dyDescent="0.2">
      <c r="A26" s="1" t="s">
        <v>165</v>
      </c>
      <c r="B26" s="2">
        <v>4.912037037037037E-2</v>
      </c>
      <c r="C26" s="11">
        <v>17.079999999999998</v>
      </c>
      <c r="D26" s="8">
        <v>369</v>
      </c>
      <c r="E26" s="4">
        <v>14.4</v>
      </c>
      <c r="F26" s="13">
        <v>127</v>
      </c>
      <c r="G26" s="13">
        <v>481</v>
      </c>
      <c r="H26" s="6" t="s">
        <v>6</v>
      </c>
      <c r="I26" s="18">
        <f t="shared" si="0"/>
        <v>4.3208430913348944E-2</v>
      </c>
      <c r="J26" s="226" t="s">
        <v>92</v>
      </c>
      <c r="K26" s="103">
        <v>1</v>
      </c>
      <c r="L26" s="103">
        <v>2</v>
      </c>
      <c r="M26" s="103">
        <v>2</v>
      </c>
      <c r="N26" s="103">
        <v>3</v>
      </c>
      <c r="O26" s="11">
        <f t="shared" si="1"/>
        <v>2</v>
      </c>
    </row>
    <row r="27" spans="1:15" x14ac:dyDescent="0.2">
      <c r="A27" s="1" t="s">
        <v>71</v>
      </c>
      <c r="B27" s="2">
        <v>5.6678240740740737E-2</v>
      </c>
      <c r="C27" s="3">
        <v>21.04</v>
      </c>
      <c r="D27" s="13">
        <v>448</v>
      </c>
      <c r="E27" s="9">
        <v>15.4</v>
      </c>
      <c r="F27" s="13">
        <v>129</v>
      </c>
      <c r="G27" s="13">
        <v>473</v>
      </c>
      <c r="H27" s="6" t="s">
        <v>6</v>
      </c>
      <c r="I27" s="18">
        <f t="shared" si="0"/>
        <v>4.2585551330798478E-2</v>
      </c>
      <c r="J27" s="226" t="s">
        <v>92</v>
      </c>
      <c r="K27" s="103">
        <v>2</v>
      </c>
      <c r="L27" s="103">
        <v>3</v>
      </c>
      <c r="M27" s="103">
        <v>1</v>
      </c>
      <c r="N27" s="103">
        <v>3</v>
      </c>
      <c r="O27" s="11">
        <f t="shared" si="1"/>
        <v>2.25</v>
      </c>
    </row>
    <row r="28" spans="1:15" x14ac:dyDescent="0.2">
      <c r="A28" s="1" t="s">
        <v>529</v>
      </c>
      <c r="B28" s="2">
        <v>9.767156862745098E-2</v>
      </c>
      <c r="C28" s="3">
        <v>39.85</v>
      </c>
      <c r="D28" s="8">
        <v>535</v>
      </c>
      <c r="E28" s="12">
        <v>17</v>
      </c>
      <c r="F28">
        <v>129</v>
      </c>
      <c r="G28">
        <v>471</v>
      </c>
      <c r="H28" s="233" t="s">
        <v>6</v>
      </c>
      <c r="I28" s="18">
        <f t="shared" si="0"/>
        <v>2.6850690087829362E-2</v>
      </c>
      <c r="J28" s="227" t="s">
        <v>92</v>
      </c>
      <c r="K28" s="5">
        <v>3</v>
      </c>
      <c r="L28" s="5">
        <v>3</v>
      </c>
      <c r="M28" s="5">
        <v>1</v>
      </c>
      <c r="N28" s="5">
        <v>2</v>
      </c>
      <c r="O28" s="11">
        <f t="shared" si="1"/>
        <v>2.25</v>
      </c>
    </row>
    <row r="29" spans="1:15" x14ac:dyDescent="0.2">
      <c r="A29" s="1" t="s">
        <v>108</v>
      </c>
      <c r="B29" s="2">
        <v>3.636574074074074E-2</v>
      </c>
      <c r="C29" s="3">
        <v>14.76</v>
      </c>
      <c r="D29" s="13">
        <v>340</v>
      </c>
      <c r="E29" s="9">
        <v>16.899999999999999</v>
      </c>
      <c r="F29" s="13">
        <v>130</v>
      </c>
      <c r="G29" s="13">
        <v>470</v>
      </c>
      <c r="H29" s="6" t="s">
        <v>6</v>
      </c>
      <c r="I29" s="18">
        <f t="shared" si="0"/>
        <v>4.6070460704607047E-2</v>
      </c>
      <c r="J29" s="226" t="s">
        <v>92</v>
      </c>
      <c r="K29" s="103">
        <v>1</v>
      </c>
      <c r="L29" s="103">
        <v>3</v>
      </c>
      <c r="M29" s="103">
        <v>1</v>
      </c>
      <c r="N29" s="103">
        <v>3</v>
      </c>
      <c r="O29" s="11">
        <f t="shared" si="1"/>
        <v>2</v>
      </c>
    </row>
    <row r="30" spans="1:15" x14ac:dyDescent="0.2">
      <c r="A30" s="1" t="s">
        <v>831</v>
      </c>
      <c r="B30" s="2">
        <v>9.1099537037037034E-2</v>
      </c>
      <c r="C30" s="11">
        <v>44</v>
      </c>
      <c r="D30">
        <v>370</v>
      </c>
      <c r="E30" s="12">
        <v>20.100000000000001</v>
      </c>
      <c r="F30" s="13">
        <v>130</v>
      </c>
      <c r="G30" s="13">
        <v>468</v>
      </c>
      <c r="H30" s="6" t="s">
        <v>645</v>
      </c>
      <c r="I30" s="18">
        <f t="shared" si="0"/>
        <v>1.6818181818181819E-2</v>
      </c>
      <c r="J30" s="227" t="s">
        <v>92</v>
      </c>
      <c r="K30" s="5">
        <v>3</v>
      </c>
      <c r="L30" s="5">
        <v>1</v>
      </c>
      <c r="M30" s="5">
        <v>2</v>
      </c>
      <c r="N30" s="5">
        <v>2</v>
      </c>
      <c r="O30" s="11">
        <f t="shared" si="1"/>
        <v>2</v>
      </c>
    </row>
    <row r="31" spans="1:15" x14ac:dyDescent="0.2">
      <c r="A31" s="1" t="s">
        <v>183</v>
      </c>
      <c r="B31" s="2">
        <v>5.1331018518518519E-2</v>
      </c>
      <c r="C31" s="11">
        <v>24.99</v>
      </c>
      <c r="D31" s="13">
        <v>352</v>
      </c>
      <c r="E31" s="9">
        <v>20.2</v>
      </c>
      <c r="F31" s="13">
        <v>130</v>
      </c>
      <c r="G31" s="13">
        <v>466</v>
      </c>
      <c r="H31" s="6" t="s">
        <v>6</v>
      </c>
      <c r="I31" s="18">
        <f t="shared" si="0"/>
        <v>2.8171268507402963E-2</v>
      </c>
      <c r="J31" s="226" t="s">
        <v>92</v>
      </c>
      <c r="K31" s="103">
        <v>2</v>
      </c>
      <c r="L31" s="103">
        <v>3</v>
      </c>
      <c r="M31" s="103">
        <v>1</v>
      </c>
      <c r="N31" s="103">
        <v>2</v>
      </c>
      <c r="O31" s="11">
        <f t="shared" si="1"/>
        <v>2</v>
      </c>
    </row>
    <row r="32" spans="1:15" x14ac:dyDescent="0.2">
      <c r="A32" s="1" t="s">
        <v>16</v>
      </c>
      <c r="B32" s="2">
        <v>3.888888888888889E-2</v>
      </c>
      <c r="C32" s="3">
        <v>12.48</v>
      </c>
      <c r="D32" s="13">
        <v>346</v>
      </c>
      <c r="E32" s="4">
        <v>13.4</v>
      </c>
      <c r="F32" s="13">
        <v>130</v>
      </c>
      <c r="G32" s="13">
        <v>458</v>
      </c>
      <c r="H32" s="6" t="s">
        <v>6</v>
      </c>
      <c r="I32" s="18">
        <f t="shared" si="0"/>
        <v>5.5448717948717946E-2</v>
      </c>
      <c r="J32" s="226" t="s">
        <v>92</v>
      </c>
      <c r="K32" s="103">
        <v>1</v>
      </c>
      <c r="L32" s="103">
        <v>2</v>
      </c>
      <c r="M32" s="103">
        <v>1</v>
      </c>
      <c r="N32" s="103">
        <v>2</v>
      </c>
      <c r="O32" s="11">
        <f t="shared" si="1"/>
        <v>1.5</v>
      </c>
    </row>
    <row r="33" spans="1:15" x14ac:dyDescent="0.2">
      <c r="A33" s="1" t="s">
        <v>17</v>
      </c>
      <c r="B33" s="2">
        <v>3.7534722222222219E-2</v>
      </c>
      <c r="C33" s="3">
        <v>11.83</v>
      </c>
      <c r="D33" s="13">
        <v>328</v>
      </c>
      <c r="E33" s="4">
        <v>13.1</v>
      </c>
      <c r="F33" s="13">
        <v>127</v>
      </c>
      <c r="G33" s="13">
        <v>454</v>
      </c>
      <c r="H33" s="6" t="s">
        <v>6</v>
      </c>
      <c r="I33" s="18">
        <f t="shared" si="0"/>
        <v>5.5452240067624683E-2</v>
      </c>
      <c r="J33" s="226" t="s">
        <v>92</v>
      </c>
      <c r="K33" s="103">
        <v>1</v>
      </c>
      <c r="L33" s="103">
        <v>2</v>
      </c>
      <c r="M33" s="103">
        <v>1</v>
      </c>
      <c r="N33" s="103">
        <v>2</v>
      </c>
      <c r="O33" s="11">
        <f t="shared" si="1"/>
        <v>1.5</v>
      </c>
    </row>
    <row r="34" spans="1:15" x14ac:dyDescent="0.2">
      <c r="A34" s="1" t="s">
        <v>45</v>
      </c>
      <c r="B34" s="2">
        <v>3.8912037037037037E-2</v>
      </c>
      <c r="C34" s="3">
        <v>10.29</v>
      </c>
      <c r="D34" s="13">
        <v>342</v>
      </c>
      <c r="E34" s="12">
        <v>11</v>
      </c>
      <c r="F34" s="13">
        <v>127</v>
      </c>
      <c r="G34" s="13">
        <v>452</v>
      </c>
      <c r="H34" s="16" t="s">
        <v>6</v>
      </c>
      <c r="I34" s="18">
        <f t="shared" si="0"/>
        <v>6.6472303206997083E-2</v>
      </c>
      <c r="J34" s="226" t="s">
        <v>92</v>
      </c>
      <c r="K34" s="103">
        <v>1</v>
      </c>
      <c r="L34" s="103">
        <v>1</v>
      </c>
      <c r="M34" s="103">
        <v>3</v>
      </c>
      <c r="N34" s="103">
        <v>2</v>
      </c>
      <c r="O34" s="11">
        <f t="shared" si="1"/>
        <v>1.75</v>
      </c>
    </row>
    <row r="35" spans="1:15" x14ac:dyDescent="0.2">
      <c r="A35" s="1" t="s">
        <v>37</v>
      </c>
      <c r="B35" s="2">
        <v>4.1203703703703708E-2</v>
      </c>
      <c r="C35" s="11">
        <v>18.489999999999998</v>
      </c>
      <c r="D35" s="13">
        <v>329</v>
      </c>
      <c r="E35" s="12">
        <v>18.7</v>
      </c>
      <c r="F35" s="13">
        <v>129</v>
      </c>
      <c r="G35" s="13">
        <v>439</v>
      </c>
      <c r="H35" s="6" t="s">
        <v>6</v>
      </c>
      <c r="I35" s="18">
        <f t="shared" si="0"/>
        <v>3.5586803677663599E-2</v>
      </c>
      <c r="J35" s="226" t="s">
        <v>93</v>
      </c>
      <c r="K35" s="103">
        <v>2</v>
      </c>
      <c r="L35" s="103">
        <v>2</v>
      </c>
      <c r="M35" s="103">
        <v>1</v>
      </c>
      <c r="N35" s="103">
        <v>1</v>
      </c>
      <c r="O35" s="11">
        <f t="shared" si="1"/>
        <v>1.5</v>
      </c>
    </row>
    <row r="36" spans="1:15" x14ac:dyDescent="0.2">
      <c r="A36" s="1" t="s">
        <v>38</v>
      </c>
      <c r="B36" s="2">
        <v>3.2534722222222222E-2</v>
      </c>
      <c r="C36" s="11">
        <v>10.23</v>
      </c>
      <c r="D36">
        <v>320</v>
      </c>
      <c r="E36" s="12">
        <v>13.1</v>
      </c>
      <c r="F36" s="13">
        <v>130</v>
      </c>
      <c r="G36" s="13">
        <v>429</v>
      </c>
      <c r="H36" s="6" t="s">
        <v>6</v>
      </c>
      <c r="I36" s="18">
        <f t="shared" si="0"/>
        <v>6.2561094819159335E-2</v>
      </c>
      <c r="J36" s="226" t="s">
        <v>92</v>
      </c>
      <c r="K36" s="103">
        <v>1</v>
      </c>
      <c r="L36" s="103">
        <v>1</v>
      </c>
      <c r="M36" s="103">
        <v>2</v>
      </c>
      <c r="N36" s="103">
        <v>2</v>
      </c>
      <c r="O36" s="11">
        <f t="shared" si="1"/>
        <v>1.5</v>
      </c>
    </row>
    <row r="37" spans="1:15" x14ac:dyDescent="0.2">
      <c r="A37" s="1" t="s">
        <v>166</v>
      </c>
      <c r="B37" s="2">
        <v>5.5300925925925927E-2</v>
      </c>
      <c r="C37" s="11">
        <v>20.66</v>
      </c>
      <c r="D37">
        <v>299</v>
      </c>
      <c r="E37" s="12">
        <v>15.5</v>
      </c>
      <c r="F37" s="13">
        <v>129</v>
      </c>
      <c r="G37" s="13">
        <v>426</v>
      </c>
      <c r="H37" s="85" t="s">
        <v>6</v>
      </c>
      <c r="I37" s="18">
        <f t="shared" si="0"/>
        <v>2.8944820909970959E-2</v>
      </c>
      <c r="J37" s="226" t="s">
        <v>93</v>
      </c>
      <c r="K37" s="103">
        <v>3</v>
      </c>
      <c r="L37" s="103">
        <v>2</v>
      </c>
      <c r="M37" s="103">
        <v>2</v>
      </c>
      <c r="N37" s="103">
        <v>1</v>
      </c>
      <c r="O37" s="11">
        <f t="shared" si="1"/>
        <v>2</v>
      </c>
    </row>
    <row r="38" spans="1:15" x14ac:dyDescent="0.2">
      <c r="A38" s="1" t="s">
        <v>180</v>
      </c>
      <c r="B38" s="2">
        <v>3.9803240740740743E-2</v>
      </c>
      <c r="C38" s="11">
        <v>17.32</v>
      </c>
      <c r="D38">
        <v>298</v>
      </c>
      <c r="E38" s="4">
        <v>18.100000000000001</v>
      </c>
      <c r="F38" s="13">
        <v>130</v>
      </c>
      <c r="G38" s="13">
        <v>418</v>
      </c>
      <c r="H38" s="6" t="s">
        <v>6</v>
      </c>
      <c r="I38" s="18">
        <f t="shared" si="0"/>
        <v>3.4411085450346421E-2</v>
      </c>
      <c r="J38" s="226" t="s">
        <v>92</v>
      </c>
      <c r="K38" s="103">
        <v>3</v>
      </c>
      <c r="L38" s="103">
        <v>2</v>
      </c>
      <c r="M38" s="103">
        <v>2</v>
      </c>
      <c r="N38" s="103">
        <v>2</v>
      </c>
      <c r="O38" s="11">
        <f t="shared" si="1"/>
        <v>2.25</v>
      </c>
    </row>
    <row r="39" spans="1:15" x14ac:dyDescent="0.2">
      <c r="A39" s="1" t="s">
        <v>470</v>
      </c>
      <c r="B39" s="2">
        <v>5.2777777777777778E-2</v>
      </c>
      <c r="C39" s="11">
        <v>19.649999999999999</v>
      </c>
      <c r="D39">
        <v>281</v>
      </c>
      <c r="E39" s="12">
        <v>15.5</v>
      </c>
      <c r="F39" s="13">
        <v>130</v>
      </c>
      <c r="G39" s="13">
        <v>401</v>
      </c>
      <c r="H39" s="6" t="s">
        <v>6</v>
      </c>
      <c r="I39" s="18">
        <f t="shared" si="0"/>
        <v>2.8600508905852418E-2</v>
      </c>
      <c r="J39" s="227" t="s">
        <v>93</v>
      </c>
      <c r="K39" s="5">
        <v>3</v>
      </c>
      <c r="L39" s="5">
        <v>2</v>
      </c>
      <c r="M39" s="5">
        <v>2</v>
      </c>
      <c r="N39" s="5">
        <v>2</v>
      </c>
      <c r="O39" s="11">
        <f t="shared" si="1"/>
        <v>2.25</v>
      </c>
    </row>
    <row r="40" spans="1:15" x14ac:dyDescent="0.2">
      <c r="A40" s="1" t="s">
        <v>177</v>
      </c>
      <c r="B40" s="2">
        <v>4.3055555555555562E-2</v>
      </c>
      <c r="C40" s="11">
        <v>17</v>
      </c>
      <c r="D40">
        <v>325</v>
      </c>
      <c r="E40" s="12">
        <v>16.451612903225801</v>
      </c>
      <c r="F40" s="13">
        <v>130</v>
      </c>
      <c r="G40" s="13">
        <v>394</v>
      </c>
      <c r="H40" s="6" t="s">
        <v>6</v>
      </c>
      <c r="I40" s="18">
        <f t="shared" si="0"/>
        <v>3.8235294117647062E-2</v>
      </c>
      <c r="J40" s="226" t="s">
        <v>92</v>
      </c>
      <c r="K40" s="103">
        <v>1</v>
      </c>
      <c r="L40" s="103">
        <v>1</v>
      </c>
      <c r="M40" s="103">
        <v>1</v>
      </c>
      <c r="N40" s="103">
        <v>2</v>
      </c>
      <c r="O40" s="11">
        <f t="shared" si="1"/>
        <v>1.25</v>
      </c>
    </row>
    <row r="41" spans="1:15" x14ac:dyDescent="0.2">
      <c r="A41" s="1" t="s">
        <v>60</v>
      </c>
      <c r="B41" s="2">
        <v>4.0833333333333333E-2</v>
      </c>
      <c r="C41" s="11">
        <v>16.68</v>
      </c>
      <c r="D41">
        <v>221</v>
      </c>
      <c r="E41" s="4">
        <v>17</v>
      </c>
      <c r="F41">
        <v>129</v>
      </c>
      <c r="G41">
        <v>341</v>
      </c>
      <c r="H41" t="s">
        <v>6</v>
      </c>
      <c r="I41" s="18">
        <f t="shared" si="0"/>
        <v>2.6498800959232613E-2</v>
      </c>
      <c r="J41" s="227" t="s">
        <v>93</v>
      </c>
      <c r="K41" s="103">
        <v>1</v>
      </c>
      <c r="L41" s="103">
        <v>3</v>
      </c>
      <c r="M41" s="103">
        <v>1</v>
      </c>
      <c r="N41" s="103">
        <v>3</v>
      </c>
      <c r="O41" s="11">
        <f t="shared" si="1"/>
        <v>2</v>
      </c>
    </row>
    <row r="42" spans="1:15" x14ac:dyDescent="0.2">
      <c r="A42" s="1" t="s">
        <v>614</v>
      </c>
      <c r="B42" s="2">
        <v>5.8333333333333327E-2</v>
      </c>
      <c r="C42" s="11">
        <v>27.59</v>
      </c>
      <c r="D42">
        <v>255</v>
      </c>
      <c r="E42" s="12">
        <v>19.7</v>
      </c>
      <c r="F42">
        <v>122</v>
      </c>
      <c r="G42">
        <v>306</v>
      </c>
      <c r="H42" t="s">
        <v>6</v>
      </c>
      <c r="I42" s="18">
        <f t="shared" si="0"/>
        <v>1.8484958318231243E-2</v>
      </c>
      <c r="J42" s="227" t="s">
        <v>93</v>
      </c>
      <c r="K42" s="5">
        <v>3</v>
      </c>
      <c r="L42" s="5">
        <v>1</v>
      </c>
      <c r="M42" s="5">
        <v>1</v>
      </c>
      <c r="N42" s="5">
        <v>2</v>
      </c>
      <c r="O42" s="11">
        <f t="shared" si="1"/>
        <v>1.75</v>
      </c>
    </row>
    <row r="43" spans="1:15" x14ac:dyDescent="0.2">
      <c r="A43" s="1" t="s">
        <v>653</v>
      </c>
      <c r="B43" s="2">
        <v>3.9722222222222221E-2</v>
      </c>
      <c r="C43" s="11">
        <v>14.3</v>
      </c>
      <c r="D43">
        <v>194</v>
      </c>
      <c r="E43" s="12">
        <v>15</v>
      </c>
      <c r="F43" s="13">
        <v>130</v>
      </c>
      <c r="G43" s="13">
        <v>304</v>
      </c>
      <c r="H43" s="6" t="s">
        <v>645</v>
      </c>
      <c r="I43" s="18">
        <f t="shared" si="0"/>
        <v>2.7132867132867132E-2</v>
      </c>
      <c r="J43" s="227" t="s">
        <v>92</v>
      </c>
      <c r="K43" s="5">
        <v>3</v>
      </c>
      <c r="L43" s="5">
        <v>2</v>
      </c>
      <c r="M43" s="5">
        <v>2</v>
      </c>
      <c r="N43" s="5">
        <v>2</v>
      </c>
      <c r="O43" s="11">
        <f t="shared" si="1"/>
        <v>2.25</v>
      </c>
    </row>
    <row r="44" spans="1:15" x14ac:dyDescent="0.2">
      <c r="A44" s="1" t="s">
        <v>678</v>
      </c>
      <c r="B44" s="2">
        <v>6.9942129629629632E-2</v>
      </c>
      <c r="C44" s="11">
        <v>34.4</v>
      </c>
      <c r="D44">
        <v>241</v>
      </c>
      <c r="E44" s="12">
        <v>20.493132550057915</v>
      </c>
      <c r="F44" s="13">
        <v>122</v>
      </c>
      <c r="G44" s="13">
        <v>261</v>
      </c>
      <c r="H44" s="6" t="s">
        <v>645</v>
      </c>
      <c r="I44" s="18">
        <f t="shared" si="0"/>
        <v>1.4011627906976744E-2</v>
      </c>
      <c r="J44" s="227" t="s">
        <v>93</v>
      </c>
      <c r="K44" s="5">
        <v>3</v>
      </c>
      <c r="L44" s="5">
        <v>1</v>
      </c>
      <c r="M44" s="5">
        <v>1</v>
      </c>
      <c r="N44" s="5">
        <v>2</v>
      </c>
      <c r="O44" s="11">
        <f t="shared" si="1"/>
        <v>1.75</v>
      </c>
    </row>
  </sheetData>
  <sortState ref="A2:O44">
    <sortCondition descending="1" ref="G1"/>
  </sortState>
  <phoneticPr fontId="0" type="noConversion"/>
  <conditionalFormatting sqref="E1:E1048576">
    <cfRule type="cellIs" dxfId="1784" priority="155" stopIfTrue="1" operator="between">
      <formula>0</formula>
      <formula>19.99</formula>
    </cfRule>
    <cfRule type="cellIs" dxfId="1783" priority="156" stopIfTrue="1" operator="between">
      <formula>20</formula>
      <formula>24.99</formula>
    </cfRule>
    <cfRule type="cellIs" dxfId="1782" priority="157" stopIfTrue="1" operator="between">
      <formula>25</formula>
      <formula>99.99</formula>
    </cfRule>
  </conditionalFormatting>
  <conditionalFormatting sqref="I1:I1048576">
    <cfRule type="cellIs" dxfId="1781" priority="149" stopIfTrue="1" operator="between">
      <formula>0</formula>
      <formula>0.0199</formula>
    </cfRule>
    <cfRule type="cellIs" dxfId="1780" priority="150" stopIfTrue="1" operator="between">
      <formula>0.02</formula>
      <formula>0.0399</formula>
    </cfRule>
    <cfRule type="cellIs" dxfId="1779" priority="151" stopIfTrue="1" operator="between">
      <formula>0.04</formula>
      <formula>0.9999</formula>
    </cfRule>
  </conditionalFormatting>
  <conditionalFormatting sqref="K1:N1048576">
    <cfRule type="cellIs" dxfId="1778" priority="89" operator="equal">
      <formula>1</formula>
    </cfRule>
    <cfRule type="cellIs" dxfId="1777" priority="90" operator="equal">
      <formula>2</formula>
    </cfRule>
    <cfRule type="cellIs" dxfId="1776" priority="91" operator="equal">
      <formula>3</formula>
    </cfRule>
  </conditionalFormatting>
  <conditionalFormatting sqref="J1:J1048576">
    <cfRule type="cellIs" dxfId="1775" priority="51" stopIfTrue="1" operator="equal">
      <formula>"Hunsrück"</formula>
    </cfRule>
    <cfRule type="cellIs" dxfId="1774" priority="52" stopIfTrue="1" operator="equal">
      <formula>"Fränkische Alb"</formula>
    </cfRule>
    <cfRule type="cellIs" dxfId="1773" priority="53" stopIfTrue="1" operator="equal">
      <formula>"Bayerischer Wald"</formula>
    </cfRule>
    <cfRule type="cellIs" dxfId="1772" priority="54" stopIfTrue="1" operator="equal">
      <formula>"Harz"</formula>
    </cfRule>
    <cfRule type="cellIs" dxfId="1771" priority="55" stopIfTrue="1" operator="equal">
      <formula>"Fichtelgebirge"</formula>
    </cfRule>
    <cfRule type="cellIs" dxfId="1770" priority="56" stopIfTrue="1" operator="equal">
      <formula>"Frankenwald"</formula>
    </cfRule>
    <cfRule type="cellIs" dxfId="1769" priority="57" stopIfTrue="1" operator="equal">
      <formula>"Thüringer Wald"</formula>
    </cfRule>
    <cfRule type="cellIs" dxfId="1768" priority="58" stopIfTrue="1" operator="equal">
      <formula>"Rothaargebirge"</formula>
    </cfRule>
    <cfRule type="cellIs" dxfId="1767" priority="59" stopIfTrue="1" operator="equal">
      <formula>"Schwäbische Alb"</formula>
    </cfRule>
    <cfRule type="cellIs" dxfId="1766" priority="60" stopIfTrue="1" operator="equal">
      <formula>"Alpen"</formula>
    </cfRule>
    <cfRule type="cellIs" dxfId="1765" priority="61" stopIfTrue="1" operator="equal">
      <formula>"Pfalz"</formula>
    </cfRule>
    <cfRule type="cellIs" dxfId="1764" priority="62" stopIfTrue="1" operator="equal">
      <formula>"Schwarzwald"</formula>
    </cfRule>
    <cfRule type="cellIs" dxfId="1763" priority="63" stopIfTrue="1" operator="equal">
      <formula>"Vogelsberg"</formula>
    </cfRule>
    <cfRule type="cellIs" dxfId="1762" priority="64" stopIfTrue="1" operator="equal">
      <formula>"Rhön"</formula>
    </cfRule>
    <cfRule type="cellIs" dxfId="1761" priority="65" stopIfTrue="1" operator="equal">
      <formula>"Schwarzwald"</formula>
    </cfRule>
    <cfRule type="cellIs" dxfId="1760" priority="66" stopIfTrue="1" operator="equal">
      <formula>"Taunus"</formula>
    </cfRule>
    <cfRule type="cellIs" dxfId="1759" priority="67" stopIfTrue="1" operator="equal">
      <formula>"Spessart"</formula>
    </cfRule>
    <cfRule type="cellIs" dxfId="1758" priority="68" stopIfTrue="1" operator="equal">
      <formula>"Odenwald"</formula>
    </cfRule>
  </conditionalFormatting>
  <conditionalFormatting sqref="B1:B1048576">
    <cfRule type="cellIs" dxfId="1757" priority="34" stopIfTrue="1" operator="between">
      <formula>0</formula>
      <formula>0.041666665</formula>
    </cfRule>
    <cfRule type="cellIs" dxfId="1756" priority="35" stopIfTrue="1" operator="between">
      <formula>0.0416666666666667</formula>
      <formula>0.124999884259259</formula>
    </cfRule>
    <cfRule type="cellIs" dxfId="1755" priority="36" stopIfTrue="1" operator="between">
      <formula>0.125</formula>
      <formula>0.166666550925926</formula>
    </cfRule>
    <cfRule type="cellIs" dxfId="1754" priority="37" stopIfTrue="1" operator="between">
      <formula>0.0833333333333333</formula>
      <formula>0.208333217592593</formula>
    </cfRule>
    <cfRule type="cellIs" dxfId="1753" priority="38" stopIfTrue="1" operator="between">
      <formula>0.208333333333333</formula>
      <formula>4.16666655092593</formula>
    </cfRule>
  </conditionalFormatting>
  <conditionalFormatting sqref="G1:G1048576">
    <cfRule type="cellIs" dxfId="1752" priority="28" stopIfTrue="1" operator="between">
      <formula>0</formula>
      <formula>399.99</formula>
    </cfRule>
    <cfRule type="cellIs" dxfId="1751" priority="29" stopIfTrue="1" operator="between">
      <formula>400</formula>
      <formula>449.99</formula>
    </cfRule>
    <cfRule type="cellIs" dxfId="1750" priority="30" stopIfTrue="1" operator="between">
      <formula>450</formula>
      <formula>499.99</formula>
    </cfRule>
    <cfRule type="cellIs" dxfId="1749" priority="31" stopIfTrue="1" operator="between">
      <formula>500</formula>
      <formula>549.99</formula>
    </cfRule>
    <cfRule type="cellIs" dxfId="1748" priority="32" stopIfTrue="1" operator="between">
      <formula>550</formula>
      <formula>599.99</formula>
    </cfRule>
  </conditionalFormatting>
  <conditionalFormatting sqref="G1:G1048576">
    <cfRule type="cellIs" dxfId="1747" priority="33" stopIfTrue="1" operator="between">
      <formula>600</formula>
      <formula>9999.99</formula>
    </cfRule>
  </conditionalFormatting>
  <conditionalFormatting sqref="F1:F1048576">
    <cfRule type="cellIs" dxfId="1746" priority="23" stopIfTrue="1" operator="between">
      <formula>118</formula>
      <formula>120.99</formula>
    </cfRule>
    <cfRule type="cellIs" dxfId="1745" priority="24" stopIfTrue="1" operator="between">
      <formula>121</formula>
      <formula>123.99</formula>
    </cfRule>
    <cfRule type="cellIs" dxfId="1744" priority="25" stopIfTrue="1" operator="between">
      <formula>124</formula>
      <formula>126.99</formula>
    </cfRule>
    <cfRule type="cellIs" dxfId="1743" priority="26" stopIfTrue="1" operator="between">
      <formula>127</formula>
      <formula>129.99</formula>
    </cfRule>
    <cfRule type="cellIs" dxfId="1742" priority="27" stopIfTrue="1" operator="between">
      <formula>130</formula>
      <formula>9999.99</formula>
    </cfRule>
  </conditionalFormatting>
  <conditionalFormatting sqref="F1:F1048576">
    <cfRule type="cellIs" dxfId="1741" priority="22" stopIfTrue="1" operator="between">
      <formula>0</formula>
      <formula>117.99</formula>
    </cfRule>
  </conditionalFormatting>
  <conditionalFormatting sqref="H1:H1048576">
    <cfRule type="cellIs" dxfId="1740" priority="18" stopIfTrue="1" operator="equal">
      <formula>"CR"</formula>
    </cfRule>
    <cfRule type="cellIs" dxfId="1739" priority="19" stopIfTrue="1" operator="equal">
      <formula>"FB"</formula>
    </cfRule>
    <cfRule type="cellIs" dxfId="1738" priority="20" stopIfTrue="1" operator="equal">
      <formula>"RR"</formula>
    </cfRule>
    <cfRule type="cellIs" dxfId="1737" priority="21" stopIfTrue="1" operator="equal">
      <formula>"MTB"</formula>
    </cfRule>
  </conditionalFormatting>
  <conditionalFormatting sqref="A1:A1048576">
    <cfRule type="expression" dxfId="1736" priority="14" stopIfTrue="1">
      <formula>H1="CR"</formula>
    </cfRule>
    <cfRule type="expression" dxfId="1735" priority="15" stopIfTrue="1">
      <formula>H1="RR"</formula>
    </cfRule>
    <cfRule type="expression" dxfId="1734" priority="16" stopIfTrue="1">
      <formula>H1="FB"</formula>
    </cfRule>
    <cfRule type="expression" dxfId="1733" priority="17" stopIfTrue="1">
      <formula>H1="MTB"</formula>
    </cfRule>
  </conditionalFormatting>
  <conditionalFormatting sqref="O1:O1048576">
    <cfRule type="cellIs" dxfId="1732" priority="11" stopIfTrue="1" operator="between">
      <formula>1</formula>
      <formula>1.499</formula>
    </cfRule>
    <cfRule type="cellIs" dxfId="1731" priority="12" stopIfTrue="1" operator="between">
      <formula>1.5</formula>
      <formula>2</formula>
    </cfRule>
    <cfRule type="cellIs" dxfId="1730" priority="13" operator="between">
      <formula>2</formula>
      <formula>99.999</formula>
    </cfRule>
  </conditionalFormatting>
  <conditionalFormatting sqref="C1:C1048576">
    <cfRule type="cellIs" dxfId="1729" priority="7" stopIfTrue="1" operator="between">
      <formula>0</formula>
      <formula>19.99</formula>
    </cfRule>
    <cfRule type="cellIs" dxfId="1728" priority="8" stopIfTrue="1" operator="between">
      <formula>20</formula>
      <formula>49.99</formula>
    </cfRule>
    <cfRule type="cellIs" dxfId="1727" priority="9" stopIfTrue="1" operator="between">
      <formula>50</formula>
      <formula>99.9999</formula>
    </cfRule>
    <cfRule type="cellIs" dxfId="1726" priority="10" stopIfTrue="1" operator="between">
      <formula>100</formula>
      <formula>9999</formula>
    </cfRule>
  </conditionalFormatting>
  <conditionalFormatting sqref="D1:D1048576">
    <cfRule type="cellIs" dxfId="1725" priority="1" stopIfTrue="1" operator="between">
      <formula>0</formula>
      <formula>99.99</formula>
    </cfRule>
    <cfRule type="cellIs" dxfId="1724" priority="2" stopIfTrue="1" operator="between">
      <formula>100</formula>
      <formula>499.99</formula>
    </cfRule>
    <cfRule type="cellIs" dxfId="1723" priority="3" stopIfTrue="1" operator="between">
      <formula>500</formula>
      <formula>999.99</formula>
    </cfRule>
    <cfRule type="cellIs" dxfId="1722" priority="4" stopIfTrue="1" operator="between">
      <formula>1000</formula>
      <formula>1499.99</formula>
    </cfRule>
    <cfRule type="cellIs" dxfId="1721" priority="5" stopIfTrue="1" operator="between">
      <formula>1500</formula>
      <formula>1999.99</formula>
    </cfRule>
  </conditionalFormatting>
  <conditionalFormatting sqref="D1:D1048576">
    <cfRule type="cellIs" dxfId="1720" priority="6" stopIfTrue="1" operator="between">
      <formula>2000</formula>
      <formula>9999.99</formula>
    </cfRule>
  </conditionalFormatting>
  <hyperlinks>
    <hyperlink ref="A1" r:id="rId1" display="bild"/>
  </hyperlinks>
  <pageMargins left="0.78740157499999996" right="0.78740157499999996" top="0.984251969" bottom="0.984251969" header="0.4921259845" footer="0.4921259845"/>
  <pageSetup paperSize="9" orientation="portrait" horizontalDpi="4294967293" r:id="rId2"/>
  <headerFooter alignWithMargins="0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L4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7" width="10.28515625" bestFit="1" customWidth="1"/>
    <col min="8" max="8" width="11.85546875" style="227" bestFit="1" customWidth="1"/>
    <col min="9" max="9" width="8" style="155" bestFit="1" customWidth="1"/>
    <col min="10" max="10" width="5.85546875" customWidth="1"/>
  </cols>
  <sheetData>
    <row r="1" spans="1:12" s="33" customFormat="1" x14ac:dyDescent="0.2">
      <c r="A1" s="32" t="s">
        <v>55</v>
      </c>
      <c r="B1" s="75" t="s">
        <v>0</v>
      </c>
      <c r="C1" s="232" t="s">
        <v>243</v>
      </c>
      <c r="D1" s="366" t="s">
        <v>2</v>
      </c>
      <c r="E1" s="23" t="s">
        <v>242</v>
      </c>
      <c r="F1" s="76" t="s">
        <v>1</v>
      </c>
      <c r="G1" s="76" t="s">
        <v>310</v>
      </c>
      <c r="H1" s="157" t="s">
        <v>311</v>
      </c>
      <c r="I1" s="78" t="s">
        <v>292</v>
      </c>
      <c r="J1" s="24" t="s">
        <v>3</v>
      </c>
    </row>
    <row r="2" spans="1:12" x14ac:dyDescent="0.2">
      <c r="A2" s="1" t="s">
        <v>601</v>
      </c>
      <c r="B2" s="2">
        <v>0.19266203703703702</v>
      </c>
      <c r="C2" s="14">
        <v>85.6</v>
      </c>
      <c r="D2" s="13">
        <v>2480</v>
      </c>
      <c r="E2" s="12">
        <v>18.5</v>
      </c>
      <c r="F2" s="13">
        <v>440</v>
      </c>
      <c r="G2" s="13">
        <f t="shared" ref="G2:G41" si="0">D2+130</f>
        <v>2610</v>
      </c>
      <c r="H2" s="227" t="s">
        <v>419</v>
      </c>
      <c r="I2" s="155">
        <v>8</v>
      </c>
      <c r="J2" s="6" t="s">
        <v>398</v>
      </c>
    </row>
    <row r="3" spans="1:12" x14ac:dyDescent="0.2">
      <c r="A3" s="1" t="s">
        <v>397</v>
      </c>
      <c r="B3" s="2">
        <v>0.17361111111111113</v>
      </c>
      <c r="C3" s="11">
        <v>75.37</v>
      </c>
      <c r="D3" s="13">
        <v>2170</v>
      </c>
      <c r="E3" s="9">
        <v>18.100000000000001</v>
      </c>
      <c r="F3" s="13">
        <v>440</v>
      </c>
      <c r="G3" s="13">
        <f t="shared" si="0"/>
        <v>2300</v>
      </c>
      <c r="H3" s="33" t="s">
        <v>419</v>
      </c>
      <c r="I3" s="154">
        <v>7</v>
      </c>
      <c r="J3" s="6" t="s">
        <v>5</v>
      </c>
    </row>
    <row r="4" spans="1:12" x14ac:dyDescent="0.2">
      <c r="A4" s="1" t="s">
        <v>314</v>
      </c>
      <c r="B4" s="2">
        <v>0.14657407407407408</v>
      </c>
      <c r="C4" s="11">
        <v>64.67</v>
      </c>
      <c r="D4" s="13">
        <v>1860</v>
      </c>
      <c r="E4" s="9">
        <v>18.3</v>
      </c>
      <c r="F4" s="8">
        <v>440</v>
      </c>
      <c r="G4" s="84">
        <f t="shared" si="0"/>
        <v>1990</v>
      </c>
      <c r="H4" s="33" t="s">
        <v>419</v>
      </c>
      <c r="I4" s="154">
        <v>6</v>
      </c>
      <c r="J4" s="6" t="s">
        <v>5</v>
      </c>
      <c r="L4" s="5"/>
    </row>
    <row r="5" spans="1:12" x14ac:dyDescent="0.2">
      <c r="A5" s="1" t="s">
        <v>367</v>
      </c>
      <c r="B5" s="2">
        <v>0.15559027777777779</v>
      </c>
      <c r="C5" s="3">
        <v>45.12</v>
      </c>
      <c r="D5" s="84">
        <v>1456</v>
      </c>
      <c r="E5" s="9">
        <v>12</v>
      </c>
      <c r="F5" s="13">
        <v>436</v>
      </c>
      <c r="G5" s="13">
        <f t="shared" si="0"/>
        <v>1586</v>
      </c>
      <c r="H5" s="33" t="s">
        <v>419</v>
      </c>
      <c r="I5" s="154">
        <v>6</v>
      </c>
      <c r="J5" s="6" t="s">
        <v>6</v>
      </c>
      <c r="L5" s="5"/>
    </row>
    <row r="6" spans="1:12" x14ac:dyDescent="0.2">
      <c r="A6" s="1" t="s">
        <v>73</v>
      </c>
      <c r="B6" s="2">
        <v>9.4432870370370361E-2</v>
      </c>
      <c r="C6" s="14">
        <v>43.82</v>
      </c>
      <c r="D6" s="13">
        <v>1240</v>
      </c>
      <c r="E6" s="4">
        <v>19.3</v>
      </c>
      <c r="F6" s="13">
        <v>440</v>
      </c>
      <c r="G6" s="5">
        <f t="shared" si="0"/>
        <v>1370</v>
      </c>
      <c r="H6" s="33" t="s">
        <v>88</v>
      </c>
      <c r="I6" s="154">
        <v>4</v>
      </c>
      <c r="J6" s="6" t="s">
        <v>5</v>
      </c>
    </row>
    <row r="7" spans="1:12" x14ac:dyDescent="0.2">
      <c r="A7" s="1" t="s">
        <v>259</v>
      </c>
      <c r="B7" s="2">
        <v>0.11598379629629629</v>
      </c>
      <c r="C7" s="11">
        <v>37.92</v>
      </c>
      <c r="D7" s="13">
        <v>1226</v>
      </c>
      <c r="E7" s="9">
        <v>13.6</v>
      </c>
      <c r="F7" s="13">
        <v>436</v>
      </c>
      <c r="G7" s="8">
        <f t="shared" si="0"/>
        <v>1356</v>
      </c>
      <c r="H7" s="33" t="s">
        <v>88</v>
      </c>
      <c r="I7" s="154">
        <v>5</v>
      </c>
      <c r="J7" s="6" t="s">
        <v>6</v>
      </c>
    </row>
    <row r="8" spans="1:12" x14ac:dyDescent="0.2">
      <c r="A8" s="1" t="s">
        <v>857</v>
      </c>
      <c r="B8" s="2">
        <v>0.11805555555555557</v>
      </c>
      <c r="C8" s="11">
        <v>53.2</v>
      </c>
      <c r="D8">
        <v>1130</v>
      </c>
      <c r="E8" s="12">
        <v>18.776470588235295</v>
      </c>
      <c r="F8">
        <v>460</v>
      </c>
      <c r="G8" s="13">
        <f t="shared" si="0"/>
        <v>1260</v>
      </c>
      <c r="H8" s="227" t="s">
        <v>88</v>
      </c>
      <c r="I8" s="155">
        <v>5</v>
      </c>
      <c r="J8" s="6" t="s">
        <v>398</v>
      </c>
    </row>
    <row r="9" spans="1:12" x14ac:dyDescent="0.2">
      <c r="A9" s="1" t="s">
        <v>446</v>
      </c>
      <c r="B9" s="2">
        <v>0.1080787037037037</v>
      </c>
      <c r="C9" s="120">
        <v>51.67</v>
      </c>
      <c r="D9" s="13">
        <v>1105</v>
      </c>
      <c r="E9" s="9">
        <v>19.899999999999999</v>
      </c>
      <c r="F9" s="13">
        <v>416</v>
      </c>
      <c r="G9" s="13">
        <f t="shared" si="0"/>
        <v>1235</v>
      </c>
      <c r="H9" s="33" t="s">
        <v>88</v>
      </c>
      <c r="I9" s="155">
        <v>4</v>
      </c>
      <c r="J9" s="6" t="s">
        <v>5</v>
      </c>
    </row>
    <row r="10" spans="1:12" x14ac:dyDescent="0.2">
      <c r="A10" s="1" t="s">
        <v>191</v>
      </c>
      <c r="B10" s="2">
        <v>8.6770833333333339E-2</v>
      </c>
      <c r="C10" s="3">
        <v>31.06</v>
      </c>
      <c r="D10" s="5">
        <v>996</v>
      </c>
      <c r="E10" s="12">
        <v>14.9</v>
      </c>
      <c r="F10" s="13">
        <v>436</v>
      </c>
      <c r="G10" s="13">
        <f t="shared" si="0"/>
        <v>1126</v>
      </c>
      <c r="H10" s="33" t="s">
        <v>88</v>
      </c>
      <c r="I10" s="155">
        <v>4</v>
      </c>
      <c r="J10" s="6" t="s">
        <v>6</v>
      </c>
    </row>
    <row r="11" spans="1:12" x14ac:dyDescent="0.2">
      <c r="A11" s="1" t="s">
        <v>541</v>
      </c>
      <c r="B11" s="2">
        <v>9.7222222222222224E-2</v>
      </c>
      <c r="C11" s="3">
        <v>43.6</v>
      </c>
      <c r="D11" s="8">
        <v>930</v>
      </c>
      <c r="E11" s="12">
        <v>18.7</v>
      </c>
      <c r="F11" s="13">
        <v>460</v>
      </c>
      <c r="G11" s="13">
        <f t="shared" si="0"/>
        <v>1060</v>
      </c>
      <c r="H11" s="33" t="s">
        <v>88</v>
      </c>
      <c r="I11" s="155">
        <v>4</v>
      </c>
      <c r="J11" s="6" t="s">
        <v>398</v>
      </c>
      <c r="K11" s="4"/>
    </row>
    <row r="12" spans="1:12" x14ac:dyDescent="0.2">
      <c r="A12" s="1" t="s">
        <v>74</v>
      </c>
      <c r="B12" s="2">
        <v>6.9236111111111109E-2</v>
      </c>
      <c r="C12" s="14">
        <v>32.39</v>
      </c>
      <c r="D12" s="13">
        <v>930</v>
      </c>
      <c r="E12" s="4">
        <v>19.5</v>
      </c>
      <c r="F12" s="8">
        <v>440</v>
      </c>
      <c r="G12" s="13">
        <f t="shared" si="0"/>
        <v>1060</v>
      </c>
      <c r="H12" s="33" t="s">
        <v>88</v>
      </c>
      <c r="I12" s="154">
        <v>3</v>
      </c>
      <c r="J12" s="6" t="s">
        <v>5</v>
      </c>
      <c r="K12" s="45"/>
    </row>
    <row r="13" spans="1:12" x14ac:dyDescent="0.2">
      <c r="A13" s="1" t="s">
        <v>72</v>
      </c>
      <c r="B13" s="2">
        <v>6.2002314814814809E-2</v>
      </c>
      <c r="C13" s="3">
        <v>24.4</v>
      </c>
      <c r="D13" s="13">
        <v>766</v>
      </c>
      <c r="E13" s="12">
        <v>16.399999999999999</v>
      </c>
      <c r="F13" s="13">
        <v>436</v>
      </c>
      <c r="G13" s="8">
        <f t="shared" si="0"/>
        <v>896</v>
      </c>
      <c r="H13" s="33" t="s">
        <v>89</v>
      </c>
      <c r="I13" s="156">
        <v>3</v>
      </c>
      <c r="J13" s="6" t="s">
        <v>6</v>
      </c>
    </row>
    <row r="14" spans="1:12" x14ac:dyDescent="0.2">
      <c r="A14" s="1" t="s">
        <v>542</v>
      </c>
      <c r="B14" s="2">
        <v>7.6388888888888895E-2</v>
      </c>
      <c r="C14" s="11">
        <v>34</v>
      </c>
      <c r="D14" s="13">
        <v>730</v>
      </c>
      <c r="E14" s="9">
        <v>18.5</v>
      </c>
      <c r="F14" s="13">
        <v>460</v>
      </c>
      <c r="G14" s="13">
        <f t="shared" si="0"/>
        <v>860</v>
      </c>
      <c r="H14" s="33" t="s">
        <v>90</v>
      </c>
      <c r="I14" s="155">
        <v>3</v>
      </c>
      <c r="J14" s="6" t="s">
        <v>398</v>
      </c>
    </row>
    <row r="15" spans="1:12" x14ac:dyDescent="0.2">
      <c r="A15" s="1" t="s">
        <v>75</v>
      </c>
      <c r="B15" s="2">
        <v>4.4606481481481476E-2</v>
      </c>
      <c r="C15" s="14">
        <v>21.39</v>
      </c>
      <c r="D15" s="13">
        <v>620</v>
      </c>
      <c r="E15" s="9">
        <v>20</v>
      </c>
      <c r="F15" s="13">
        <v>440</v>
      </c>
      <c r="G15" s="8">
        <f t="shared" si="0"/>
        <v>750</v>
      </c>
      <c r="H15" s="33" t="s">
        <v>91</v>
      </c>
      <c r="I15" s="154">
        <v>2</v>
      </c>
      <c r="J15" s="6" t="s">
        <v>5</v>
      </c>
    </row>
    <row r="16" spans="1:12" x14ac:dyDescent="0.2">
      <c r="A16" s="1" t="s">
        <v>426</v>
      </c>
      <c r="B16" s="2">
        <v>7.1527777777777787E-2</v>
      </c>
      <c r="C16" s="14">
        <v>34.07</v>
      </c>
      <c r="D16" s="13">
        <v>573</v>
      </c>
      <c r="E16" s="9">
        <v>20.2</v>
      </c>
      <c r="F16" s="13">
        <v>416</v>
      </c>
      <c r="G16" s="13">
        <f t="shared" si="0"/>
        <v>703</v>
      </c>
      <c r="H16" s="33" t="s">
        <v>91</v>
      </c>
      <c r="I16" s="154">
        <v>2</v>
      </c>
      <c r="J16" s="85" t="s">
        <v>398</v>
      </c>
    </row>
    <row r="17" spans="1:10" x14ac:dyDescent="0.2">
      <c r="A17" s="1" t="s">
        <v>21</v>
      </c>
      <c r="B17" s="2">
        <v>4.7812500000000001E-2</v>
      </c>
      <c r="C17" s="14">
        <v>16.850000000000001</v>
      </c>
      <c r="D17" s="8">
        <v>536</v>
      </c>
      <c r="E17" s="4">
        <v>14.6</v>
      </c>
      <c r="F17" s="13">
        <v>436</v>
      </c>
      <c r="G17" s="8">
        <f t="shared" si="0"/>
        <v>666</v>
      </c>
      <c r="H17" s="33" t="s">
        <v>91</v>
      </c>
      <c r="I17" s="154">
        <v>2</v>
      </c>
      <c r="J17" s="6" t="s">
        <v>6</v>
      </c>
    </row>
    <row r="18" spans="1:10" x14ac:dyDescent="0.2">
      <c r="A18" s="1" t="s">
        <v>543</v>
      </c>
      <c r="B18" s="2">
        <v>5.5555555555555552E-2</v>
      </c>
      <c r="C18" s="3">
        <v>24.4</v>
      </c>
      <c r="D18" s="13">
        <v>530</v>
      </c>
      <c r="E18" s="12">
        <v>18.3</v>
      </c>
      <c r="F18" s="13">
        <v>460</v>
      </c>
      <c r="G18" s="13">
        <f t="shared" si="0"/>
        <v>660</v>
      </c>
      <c r="H18" s="33" t="s">
        <v>91</v>
      </c>
      <c r="I18" s="155">
        <v>2</v>
      </c>
      <c r="J18" s="6" t="s">
        <v>398</v>
      </c>
    </row>
    <row r="19" spans="1:10" x14ac:dyDescent="0.2">
      <c r="A19" s="1" t="s">
        <v>429</v>
      </c>
      <c r="B19" s="2">
        <v>5.2777777777777778E-2</v>
      </c>
      <c r="C19" s="3">
        <v>19.149999999999999</v>
      </c>
      <c r="D19" s="13">
        <v>422</v>
      </c>
      <c r="E19" s="9">
        <v>15.1</v>
      </c>
      <c r="F19" s="13">
        <v>270</v>
      </c>
      <c r="G19" s="13">
        <f t="shared" si="0"/>
        <v>552</v>
      </c>
      <c r="H19" s="33" t="s">
        <v>93</v>
      </c>
      <c r="I19" s="154">
        <v>3</v>
      </c>
      <c r="J19" s="6" t="s">
        <v>398</v>
      </c>
    </row>
    <row r="20" spans="1:10" x14ac:dyDescent="0.2">
      <c r="A20" s="1" t="s">
        <v>480</v>
      </c>
      <c r="B20" s="2">
        <v>6.8692129629629631E-2</v>
      </c>
      <c r="C20" s="14">
        <v>36.76</v>
      </c>
      <c r="D20" s="8">
        <v>420</v>
      </c>
      <c r="E20" s="12">
        <v>22.297556866048861</v>
      </c>
      <c r="F20" s="13">
        <v>200</v>
      </c>
      <c r="G20" s="13">
        <f t="shared" si="0"/>
        <v>550</v>
      </c>
      <c r="H20" s="33" t="s">
        <v>93</v>
      </c>
      <c r="I20" s="155">
        <v>6</v>
      </c>
      <c r="J20" s="85" t="s">
        <v>5</v>
      </c>
    </row>
    <row r="21" spans="1:10" x14ac:dyDescent="0.2">
      <c r="A21" s="1" t="s">
        <v>870</v>
      </c>
      <c r="B21" s="2">
        <v>7.1724890829694327E-2</v>
      </c>
      <c r="C21" s="11">
        <v>39.42</v>
      </c>
      <c r="D21">
        <v>370</v>
      </c>
      <c r="E21" s="12">
        <v>22.9</v>
      </c>
      <c r="F21">
        <v>202</v>
      </c>
      <c r="G21" s="13">
        <f t="shared" si="0"/>
        <v>500</v>
      </c>
      <c r="H21" s="227" t="s">
        <v>93</v>
      </c>
      <c r="I21" s="155">
        <v>8</v>
      </c>
      <c r="J21" s="6" t="s">
        <v>398</v>
      </c>
    </row>
    <row r="22" spans="1:10" x14ac:dyDescent="0.2">
      <c r="A22" s="1" t="s">
        <v>157</v>
      </c>
      <c r="B22" s="2">
        <v>4.9340277777777775E-2</v>
      </c>
      <c r="C22" s="14">
        <v>31.06</v>
      </c>
      <c r="D22" s="13">
        <v>350</v>
      </c>
      <c r="E22" s="9">
        <v>26.2</v>
      </c>
      <c r="F22" s="13">
        <v>200</v>
      </c>
      <c r="G22" s="8">
        <f t="shared" si="0"/>
        <v>480</v>
      </c>
      <c r="H22" s="33" t="s">
        <v>93</v>
      </c>
      <c r="I22" s="154">
        <v>5</v>
      </c>
      <c r="J22" s="16" t="s">
        <v>5</v>
      </c>
    </row>
    <row r="23" spans="1:10" x14ac:dyDescent="0.2">
      <c r="A23" s="1" t="s">
        <v>544</v>
      </c>
      <c r="B23" s="2">
        <v>3.4722222222222224E-2</v>
      </c>
      <c r="C23" s="3">
        <v>14.8</v>
      </c>
      <c r="D23" s="13">
        <v>330</v>
      </c>
      <c r="E23" s="9">
        <v>17.8</v>
      </c>
      <c r="F23" s="13">
        <v>460</v>
      </c>
      <c r="G23" s="13">
        <f t="shared" si="0"/>
        <v>460</v>
      </c>
      <c r="H23" s="33" t="s">
        <v>93</v>
      </c>
      <c r="I23" s="155">
        <v>1</v>
      </c>
      <c r="J23" s="85" t="s">
        <v>398</v>
      </c>
    </row>
    <row r="24" spans="1:10" x14ac:dyDescent="0.2">
      <c r="A24" s="1" t="s">
        <v>234</v>
      </c>
      <c r="B24" s="2">
        <v>2.4525462962962968E-2</v>
      </c>
      <c r="C24" s="11">
        <v>10.6</v>
      </c>
      <c r="D24" s="13">
        <v>310</v>
      </c>
      <c r="E24" s="4">
        <v>18</v>
      </c>
      <c r="F24" s="13">
        <v>440</v>
      </c>
      <c r="G24" s="13">
        <f t="shared" si="0"/>
        <v>440</v>
      </c>
      <c r="H24" s="33" t="s">
        <v>93</v>
      </c>
      <c r="I24" s="154">
        <v>1</v>
      </c>
      <c r="J24" s="6" t="s">
        <v>5</v>
      </c>
    </row>
    <row r="25" spans="1:10" x14ac:dyDescent="0.2">
      <c r="A25" s="1" t="s">
        <v>425</v>
      </c>
      <c r="B25" s="2">
        <v>4.7546296296296302E-2</v>
      </c>
      <c r="C25" s="3">
        <v>25.27</v>
      </c>
      <c r="D25" s="8">
        <v>307</v>
      </c>
      <c r="E25" s="9">
        <v>22.1</v>
      </c>
      <c r="F25" s="13">
        <v>416</v>
      </c>
      <c r="G25" s="13">
        <f t="shared" si="0"/>
        <v>437</v>
      </c>
      <c r="H25" s="33" t="s">
        <v>93</v>
      </c>
      <c r="I25" s="154">
        <v>1</v>
      </c>
      <c r="J25" s="6" t="s">
        <v>5</v>
      </c>
    </row>
    <row r="26" spans="1:10" x14ac:dyDescent="0.2">
      <c r="A26" s="1" t="s">
        <v>233</v>
      </c>
      <c r="B26" s="2">
        <v>3.1145833333333334E-2</v>
      </c>
      <c r="C26" s="3">
        <v>10.1</v>
      </c>
      <c r="D26" s="13">
        <v>306</v>
      </c>
      <c r="E26" s="4">
        <v>13.5</v>
      </c>
      <c r="F26">
        <v>436</v>
      </c>
      <c r="G26" s="13">
        <f t="shared" si="0"/>
        <v>436</v>
      </c>
      <c r="H26" s="227" t="s">
        <v>93</v>
      </c>
      <c r="I26" s="154">
        <v>1</v>
      </c>
      <c r="J26" s="6" t="s">
        <v>6</v>
      </c>
    </row>
    <row r="27" spans="1:10" x14ac:dyDescent="0.2">
      <c r="A27" s="1" t="s">
        <v>428</v>
      </c>
      <c r="B27" s="2">
        <v>4.4027777777777777E-2</v>
      </c>
      <c r="C27" s="11">
        <v>15.85</v>
      </c>
      <c r="D27" s="8">
        <v>292</v>
      </c>
      <c r="E27" s="9">
        <v>15</v>
      </c>
      <c r="F27" s="13">
        <v>270</v>
      </c>
      <c r="G27" s="13">
        <f t="shared" si="0"/>
        <v>422</v>
      </c>
      <c r="H27" s="226" t="s">
        <v>93</v>
      </c>
      <c r="I27" s="154">
        <v>2</v>
      </c>
      <c r="J27" s="6" t="s">
        <v>6</v>
      </c>
    </row>
    <row r="28" spans="1:10" x14ac:dyDescent="0.2">
      <c r="A28" s="1" t="s">
        <v>76</v>
      </c>
      <c r="B28" s="2">
        <v>4.2870370370370371E-2</v>
      </c>
      <c r="C28" s="3">
        <v>25.36</v>
      </c>
      <c r="D28" s="13">
        <v>280</v>
      </c>
      <c r="E28" s="9">
        <v>24.6</v>
      </c>
      <c r="F28" s="13">
        <v>200</v>
      </c>
      <c r="G28" s="13">
        <f t="shared" si="0"/>
        <v>410</v>
      </c>
      <c r="H28" s="227" t="s">
        <v>93</v>
      </c>
      <c r="I28" s="154">
        <v>4</v>
      </c>
      <c r="J28" s="16" t="s">
        <v>5</v>
      </c>
    </row>
    <row r="29" spans="1:10" x14ac:dyDescent="0.2">
      <c r="A29" s="1" t="s">
        <v>603</v>
      </c>
      <c r="B29" s="2">
        <v>9.5833333333333326E-2</v>
      </c>
      <c r="C29" s="3">
        <v>52.8</v>
      </c>
      <c r="D29" s="8">
        <v>265</v>
      </c>
      <c r="E29" s="12">
        <v>22.956521739130434</v>
      </c>
      <c r="F29" s="13">
        <v>155</v>
      </c>
      <c r="G29" s="13">
        <f t="shared" si="0"/>
        <v>395</v>
      </c>
      <c r="H29" s="227" t="s">
        <v>93</v>
      </c>
      <c r="I29" s="155">
        <v>10</v>
      </c>
      <c r="J29" s="6" t="s">
        <v>398</v>
      </c>
    </row>
    <row r="30" spans="1:10" x14ac:dyDescent="0.2">
      <c r="A30" s="1" t="s">
        <v>461</v>
      </c>
      <c r="B30" s="2">
        <v>7.9166666666666663E-2</v>
      </c>
      <c r="C30" s="3">
        <v>43.6</v>
      </c>
      <c r="D30" s="13">
        <v>215</v>
      </c>
      <c r="E30" s="9">
        <v>22.9</v>
      </c>
      <c r="F30" s="13">
        <v>155</v>
      </c>
      <c r="G30" s="13">
        <f t="shared" si="0"/>
        <v>345</v>
      </c>
      <c r="H30" s="227" t="s">
        <v>93</v>
      </c>
      <c r="I30" s="155">
        <v>8</v>
      </c>
      <c r="J30" s="6" t="s">
        <v>398</v>
      </c>
    </row>
    <row r="31" spans="1:10" x14ac:dyDescent="0.2">
      <c r="A31" s="1" t="s">
        <v>77</v>
      </c>
      <c r="B31" s="2">
        <v>4.0914351851851848E-2</v>
      </c>
      <c r="C31" s="11">
        <v>19.66</v>
      </c>
      <c r="D31" s="13">
        <v>210</v>
      </c>
      <c r="E31" s="9">
        <v>20</v>
      </c>
      <c r="F31" s="13">
        <v>200</v>
      </c>
      <c r="G31" s="13">
        <f t="shared" si="0"/>
        <v>340</v>
      </c>
      <c r="H31" s="227" t="s">
        <v>93</v>
      </c>
      <c r="I31" s="156">
        <v>3</v>
      </c>
      <c r="J31" s="6" t="s">
        <v>6</v>
      </c>
    </row>
    <row r="32" spans="1:10" x14ac:dyDescent="0.2">
      <c r="A32" s="1" t="s">
        <v>434</v>
      </c>
      <c r="B32" s="2">
        <v>7.0833333333333331E-2</v>
      </c>
      <c r="C32" s="3">
        <v>39</v>
      </c>
      <c r="D32" s="13">
        <v>190</v>
      </c>
      <c r="E32" s="9">
        <v>22.9</v>
      </c>
      <c r="F32" s="13">
        <v>155</v>
      </c>
      <c r="G32" s="13">
        <f t="shared" si="0"/>
        <v>320</v>
      </c>
      <c r="H32" s="226" t="s">
        <v>93</v>
      </c>
      <c r="I32" s="155">
        <v>7</v>
      </c>
      <c r="J32" s="6" t="s">
        <v>398</v>
      </c>
    </row>
    <row r="33" spans="1:10" x14ac:dyDescent="0.2">
      <c r="A33" s="1" t="s">
        <v>315</v>
      </c>
      <c r="B33" s="2">
        <v>6.2002314814814809E-2</v>
      </c>
      <c r="C33" s="3">
        <v>34.4</v>
      </c>
      <c r="D33" s="13">
        <v>165</v>
      </c>
      <c r="E33" s="9">
        <v>23.1</v>
      </c>
      <c r="F33" s="13">
        <v>155</v>
      </c>
      <c r="G33" s="13">
        <f t="shared" si="0"/>
        <v>295</v>
      </c>
      <c r="H33" s="227" t="s">
        <v>93</v>
      </c>
      <c r="I33" s="154">
        <v>6</v>
      </c>
      <c r="J33" s="6" t="s">
        <v>5</v>
      </c>
    </row>
    <row r="34" spans="1:10" x14ac:dyDescent="0.2">
      <c r="A34" s="1" t="s">
        <v>427</v>
      </c>
      <c r="B34" s="2">
        <v>3.4861111111111114E-2</v>
      </c>
      <c r="C34" s="3">
        <v>12.55</v>
      </c>
      <c r="D34" s="13">
        <v>162</v>
      </c>
      <c r="E34" s="9">
        <v>15</v>
      </c>
      <c r="F34" s="13">
        <v>270</v>
      </c>
      <c r="G34" s="13">
        <f t="shared" si="0"/>
        <v>292</v>
      </c>
      <c r="H34" s="226" t="s">
        <v>93</v>
      </c>
      <c r="I34" s="154">
        <v>1</v>
      </c>
      <c r="J34" s="6" t="s">
        <v>6</v>
      </c>
    </row>
    <row r="35" spans="1:10" x14ac:dyDescent="0.2">
      <c r="A35" s="1" t="s">
        <v>78</v>
      </c>
      <c r="B35" s="2">
        <v>2.9641203703703701E-2</v>
      </c>
      <c r="C35" s="11">
        <v>13.96</v>
      </c>
      <c r="D35" s="13">
        <v>140</v>
      </c>
      <c r="E35" s="9">
        <v>20.3</v>
      </c>
      <c r="F35" s="13">
        <v>200</v>
      </c>
      <c r="G35" s="13">
        <f t="shared" si="0"/>
        <v>270</v>
      </c>
      <c r="H35" s="227" t="s">
        <v>93</v>
      </c>
      <c r="I35" s="156">
        <v>2</v>
      </c>
      <c r="J35" s="6" t="s">
        <v>6</v>
      </c>
    </row>
    <row r="36" spans="1:10" x14ac:dyDescent="0.2">
      <c r="A36" s="1" t="s">
        <v>313</v>
      </c>
      <c r="B36" s="2">
        <v>5.3773148148148153E-2</v>
      </c>
      <c r="C36" s="11">
        <v>29.8</v>
      </c>
      <c r="D36">
        <v>140</v>
      </c>
      <c r="E36" s="9">
        <v>23</v>
      </c>
      <c r="F36" s="13">
        <v>155</v>
      </c>
      <c r="G36" s="13">
        <f t="shared" si="0"/>
        <v>270</v>
      </c>
      <c r="H36" s="227" t="s">
        <v>93</v>
      </c>
      <c r="I36" s="154">
        <v>5</v>
      </c>
      <c r="J36" s="6" t="s">
        <v>5</v>
      </c>
    </row>
    <row r="37" spans="1:10" x14ac:dyDescent="0.2">
      <c r="A37" s="1" t="s">
        <v>307</v>
      </c>
      <c r="B37" s="2">
        <v>4.5451388888888888E-2</v>
      </c>
      <c r="C37" s="11">
        <v>25.2</v>
      </c>
      <c r="D37">
        <v>115</v>
      </c>
      <c r="E37" s="9">
        <v>23.1</v>
      </c>
      <c r="F37">
        <v>155</v>
      </c>
      <c r="G37" s="13">
        <f t="shared" si="0"/>
        <v>245</v>
      </c>
      <c r="H37" s="227" t="s">
        <v>93</v>
      </c>
      <c r="I37" s="154">
        <v>4</v>
      </c>
      <c r="J37" s="6" t="s">
        <v>5</v>
      </c>
    </row>
    <row r="38" spans="1:10" x14ac:dyDescent="0.2">
      <c r="A38" s="1" t="s">
        <v>302</v>
      </c>
      <c r="B38" s="2">
        <v>3.9560185185185184E-2</v>
      </c>
      <c r="C38" s="11">
        <v>20.6</v>
      </c>
      <c r="D38">
        <v>90</v>
      </c>
      <c r="E38" s="9">
        <v>21.7</v>
      </c>
      <c r="F38">
        <v>155</v>
      </c>
      <c r="G38" s="13">
        <f t="shared" si="0"/>
        <v>220</v>
      </c>
      <c r="H38" s="226" t="s">
        <v>93</v>
      </c>
      <c r="I38" s="154">
        <v>3</v>
      </c>
      <c r="J38" s="6" t="s">
        <v>5</v>
      </c>
    </row>
    <row r="39" spans="1:10" x14ac:dyDescent="0.2">
      <c r="A39" s="1" t="s">
        <v>235</v>
      </c>
      <c r="B39" s="2">
        <v>1.7395833333333336E-2</v>
      </c>
      <c r="C39" s="11">
        <v>8.26</v>
      </c>
      <c r="D39">
        <v>70</v>
      </c>
      <c r="E39" s="9">
        <v>19.8</v>
      </c>
      <c r="F39">
        <v>200</v>
      </c>
      <c r="G39" s="13">
        <f t="shared" si="0"/>
        <v>200</v>
      </c>
      <c r="H39" s="226" t="s">
        <v>93</v>
      </c>
      <c r="I39" s="154">
        <v>1</v>
      </c>
      <c r="J39" s="6" t="s">
        <v>6</v>
      </c>
    </row>
    <row r="40" spans="1:10" x14ac:dyDescent="0.2">
      <c r="A40" s="1" t="s">
        <v>304</v>
      </c>
      <c r="B40" s="2">
        <v>3.0335648148148143E-2</v>
      </c>
      <c r="C40" s="11">
        <v>16</v>
      </c>
      <c r="D40">
        <v>65</v>
      </c>
      <c r="E40" s="9">
        <v>21.9</v>
      </c>
      <c r="F40">
        <v>155</v>
      </c>
      <c r="G40" s="13">
        <f t="shared" si="0"/>
        <v>195</v>
      </c>
      <c r="H40" s="226" t="s">
        <v>93</v>
      </c>
      <c r="I40" s="154">
        <v>2</v>
      </c>
      <c r="J40" s="6" t="s">
        <v>5</v>
      </c>
    </row>
    <row r="41" spans="1:10" x14ac:dyDescent="0.2">
      <c r="A41" s="1" t="s">
        <v>303</v>
      </c>
      <c r="B41" s="2">
        <v>2.1817129629629631E-2</v>
      </c>
      <c r="C41" s="11">
        <v>11.4</v>
      </c>
      <c r="D41">
        <v>40</v>
      </c>
      <c r="E41" s="9">
        <v>21.8</v>
      </c>
      <c r="F41">
        <v>155</v>
      </c>
      <c r="G41" s="13">
        <f t="shared" si="0"/>
        <v>170</v>
      </c>
      <c r="H41" s="226" t="s">
        <v>93</v>
      </c>
      <c r="I41" s="154">
        <v>1</v>
      </c>
      <c r="J41" s="6" t="s">
        <v>5</v>
      </c>
    </row>
  </sheetData>
  <sortState ref="A2:J41">
    <sortCondition descending="1" ref="D1"/>
  </sortState>
  <phoneticPr fontId="9" type="noConversion"/>
  <conditionalFormatting sqref="E1:E1048576">
    <cfRule type="cellIs" dxfId="1422" priority="304" stopIfTrue="1" operator="between">
      <formula>0</formula>
      <formula>19.99</formula>
    </cfRule>
    <cfRule type="cellIs" dxfId="1421" priority="305" stopIfTrue="1" operator="between">
      <formula>10</formula>
      <formula>24.99</formula>
    </cfRule>
    <cfRule type="cellIs" dxfId="1420" priority="306" stopIfTrue="1" operator="between">
      <formula>25</formula>
      <formula>99.99</formula>
    </cfRule>
  </conditionalFormatting>
  <conditionalFormatting sqref="I1:I1048576">
    <cfRule type="cellIs" dxfId="1419" priority="28" operator="between">
      <formula>7</formula>
      <formula>99</formula>
    </cfRule>
    <cfRule type="cellIs" dxfId="1418" priority="106" operator="between">
      <formula>5</formula>
      <formula>6</formula>
    </cfRule>
    <cfRule type="cellIs" dxfId="1417" priority="107" operator="between">
      <formula>3</formula>
      <formula>4</formula>
    </cfRule>
    <cfRule type="cellIs" dxfId="1416" priority="108" operator="between">
      <formula>1</formula>
      <formula>2</formula>
    </cfRule>
  </conditionalFormatting>
  <conditionalFormatting sqref="J1:J1048576">
    <cfRule type="cellIs" dxfId="1415" priority="72" operator="equal">
      <formula>"FB"</formula>
    </cfRule>
    <cfRule type="cellIs" dxfId="1414" priority="73" stopIfTrue="1" operator="equal">
      <formula>"RR"</formula>
    </cfRule>
    <cfRule type="cellIs" dxfId="1413" priority="74" stopIfTrue="1" operator="equal">
      <formula>"MTB"</formula>
    </cfRule>
  </conditionalFormatting>
  <conditionalFormatting sqref="A1:A1048576">
    <cfRule type="expression" dxfId="1412" priority="69">
      <formula>J1="RR"</formula>
    </cfRule>
    <cfRule type="expression" dxfId="1411" priority="70">
      <formula>J1="FB"</formula>
    </cfRule>
    <cfRule type="expression" dxfId="1410" priority="71">
      <formula>J1="MTB"</formula>
    </cfRule>
  </conditionalFormatting>
  <conditionalFormatting sqref="H1:H1048576">
    <cfRule type="cellIs" dxfId="1409" priority="51" stopIfTrue="1" operator="equal">
      <formula>"Hunsrück"</formula>
    </cfRule>
    <cfRule type="cellIs" dxfId="1408" priority="52" stopIfTrue="1" operator="equal">
      <formula>"Fränkische Alb"</formula>
    </cfRule>
    <cfRule type="cellIs" dxfId="1407" priority="53" stopIfTrue="1" operator="equal">
      <formula>"Bayerischer Wald"</formula>
    </cfRule>
    <cfRule type="cellIs" dxfId="1406" priority="54" stopIfTrue="1" operator="equal">
      <formula>"Harz"</formula>
    </cfRule>
    <cfRule type="cellIs" dxfId="1405" priority="55" stopIfTrue="1" operator="equal">
      <formula>"Fichtelgebirge"</formula>
    </cfRule>
    <cfRule type="cellIs" dxfId="1404" priority="56" stopIfTrue="1" operator="equal">
      <formula>"Frankenwald"</formula>
    </cfRule>
    <cfRule type="cellIs" dxfId="1403" priority="57" stopIfTrue="1" operator="equal">
      <formula>"Thüringer Wald"</formula>
    </cfRule>
    <cfRule type="cellIs" dxfId="1402" priority="58" stopIfTrue="1" operator="equal">
      <formula>"Rothaargebirge"</formula>
    </cfRule>
    <cfRule type="cellIs" dxfId="1401" priority="59" stopIfTrue="1" operator="equal">
      <formula>"Schwäbische Alb"</formula>
    </cfRule>
    <cfRule type="cellIs" dxfId="1400" priority="60" stopIfTrue="1" operator="equal">
      <formula>"Alpen"</formula>
    </cfRule>
    <cfRule type="cellIs" dxfId="1399" priority="61" stopIfTrue="1" operator="equal">
      <formula>"Pfalz"</formula>
    </cfRule>
    <cfRule type="cellIs" dxfId="1398" priority="62" stopIfTrue="1" operator="equal">
      <formula>"Schwarzwald"</formula>
    </cfRule>
    <cfRule type="cellIs" dxfId="1397" priority="63" stopIfTrue="1" operator="equal">
      <formula>"Vogelsberg"</formula>
    </cfRule>
    <cfRule type="cellIs" dxfId="1396" priority="64" stopIfTrue="1" operator="equal">
      <formula>"Rhön"</formula>
    </cfRule>
    <cfRule type="cellIs" dxfId="1395" priority="65" stopIfTrue="1" operator="equal">
      <formula>"Schwarzwald"</formula>
    </cfRule>
    <cfRule type="cellIs" dxfId="1394" priority="66" stopIfTrue="1" operator="equal">
      <formula>"Taunus"</formula>
    </cfRule>
    <cfRule type="cellIs" dxfId="1393" priority="67" stopIfTrue="1" operator="equal">
      <formula>"Spessart"</formula>
    </cfRule>
    <cfRule type="cellIs" dxfId="1392" priority="68" stopIfTrue="1" operator="equal">
      <formula>"Odenwald"</formula>
    </cfRule>
  </conditionalFormatting>
  <conditionalFormatting sqref="G1:G1048576">
    <cfRule type="cellIs" dxfId="1391" priority="35" stopIfTrue="1" operator="between">
      <formula>0</formula>
      <formula>99.99</formula>
    </cfRule>
    <cfRule type="cellIs" dxfId="1390" priority="36" stopIfTrue="1" operator="between">
      <formula>100</formula>
      <formula>499.99</formula>
    </cfRule>
    <cfRule type="cellIs" dxfId="1389" priority="37" stopIfTrue="1" operator="between">
      <formula>500</formula>
      <formula>999.99</formula>
    </cfRule>
    <cfRule type="cellIs" dxfId="1388" priority="38" stopIfTrue="1" operator="between">
      <formula>1000</formula>
      <formula>1499.99</formula>
    </cfRule>
    <cfRule type="cellIs" dxfId="1387" priority="39" stopIfTrue="1" operator="between">
      <formula>1500</formula>
      <formula>1999.99</formula>
    </cfRule>
  </conditionalFormatting>
  <conditionalFormatting sqref="G1:G1048576">
    <cfRule type="cellIs" dxfId="1386" priority="40" stopIfTrue="1" operator="between">
      <formula>2000</formula>
      <formula>9999.99</formula>
    </cfRule>
  </conditionalFormatting>
  <conditionalFormatting sqref="B1:B1048576">
    <cfRule type="cellIs" dxfId="1385" priority="23" stopIfTrue="1" operator="between">
      <formula>0</formula>
      <formula>0.041666665</formula>
    </cfRule>
    <cfRule type="cellIs" dxfId="1384" priority="24" stopIfTrue="1" operator="between">
      <formula>0.0416666666666667</formula>
      <formula>0.124999884259259</formula>
    </cfRule>
    <cfRule type="cellIs" dxfId="1383" priority="25" stopIfTrue="1" operator="between">
      <formula>0.125</formula>
      <formula>0.166666550925926</formula>
    </cfRule>
    <cfRule type="cellIs" dxfId="1382" priority="26" stopIfTrue="1" operator="between">
      <formula>0.0833333333333333</formula>
      <formula>0.208333217592593</formula>
    </cfRule>
    <cfRule type="cellIs" dxfId="1381" priority="27" stopIfTrue="1" operator="between">
      <formula>0.208333333333333</formula>
      <formula>4.16666655092593</formula>
    </cfRule>
  </conditionalFormatting>
  <conditionalFormatting sqref="F1:F1048576">
    <cfRule type="cellIs" dxfId="1380" priority="17" stopIfTrue="1" operator="between">
      <formula>0</formula>
      <formula>399.99</formula>
    </cfRule>
    <cfRule type="cellIs" dxfId="1379" priority="18" stopIfTrue="1" operator="between">
      <formula>400</formula>
      <formula>449.99</formula>
    </cfRule>
    <cfRule type="cellIs" dxfId="1378" priority="19" stopIfTrue="1" operator="between">
      <formula>450</formula>
      <formula>499.99</formula>
    </cfRule>
    <cfRule type="cellIs" dxfId="1377" priority="20" stopIfTrue="1" operator="between">
      <formula>500</formula>
      <formula>549.99</formula>
    </cfRule>
    <cfRule type="cellIs" dxfId="1376" priority="21" stopIfTrue="1" operator="between">
      <formula>550</formula>
      <formula>599.99</formula>
    </cfRule>
  </conditionalFormatting>
  <conditionalFormatting sqref="F1:F1048576">
    <cfRule type="cellIs" dxfId="1375" priority="22" stopIfTrue="1" operator="between">
      <formula>600</formula>
      <formula>9999.99</formula>
    </cfRule>
  </conditionalFormatting>
  <conditionalFormatting sqref="C1:C1048576">
    <cfRule type="cellIs" dxfId="1374" priority="7" stopIfTrue="1" operator="between">
      <formula>0</formula>
      <formula>19.99</formula>
    </cfRule>
    <cfRule type="cellIs" dxfId="1373" priority="8" stopIfTrue="1" operator="between">
      <formula>20</formula>
      <formula>49.99</formula>
    </cfRule>
    <cfRule type="cellIs" dxfId="1372" priority="9" stopIfTrue="1" operator="between">
      <formula>50</formula>
      <formula>99.9999</formula>
    </cfRule>
    <cfRule type="cellIs" dxfId="1371" priority="10" stopIfTrue="1" operator="between">
      <formula>100</formula>
      <formula>9999</formula>
    </cfRule>
  </conditionalFormatting>
  <conditionalFormatting sqref="D1:D1048576">
    <cfRule type="cellIs" dxfId="1370" priority="1" stopIfTrue="1" operator="between">
      <formula>0</formula>
      <formula>99.99</formula>
    </cfRule>
    <cfRule type="cellIs" dxfId="1369" priority="2" stopIfTrue="1" operator="between">
      <formula>100</formula>
      <formula>499.99</formula>
    </cfRule>
    <cfRule type="cellIs" dxfId="1368" priority="3" stopIfTrue="1" operator="between">
      <formula>500</formula>
      <formula>999.99</formula>
    </cfRule>
    <cfRule type="cellIs" dxfId="1367" priority="4" stopIfTrue="1" operator="between">
      <formula>1000</formula>
      <formula>1499.99</formula>
    </cfRule>
    <cfRule type="cellIs" dxfId="1366" priority="5" stopIfTrue="1" operator="between">
      <formula>1500</formula>
      <formula>1999.99</formula>
    </cfRule>
  </conditionalFormatting>
  <conditionalFormatting sqref="D1:D1048576">
    <cfRule type="cellIs" dxfId="1365" priority="6" stopIfTrue="1" operator="between">
      <formula>2000</formula>
      <formula>9999.99</formula>
    </cfRule>
  </conditionalFormatting>
  <hyperlinks>
    <hyperlink ref="A1" r:id="rId1" tooltip="Normalstartpunkt für Touren ohne Anfahrt"/>
  </hyperlinks>
  <pageMargins left="0.78740157499999996" right="0.78740157499999996" top="0.984251969" bottom="0.984251969" header="0.4921259845" footer="0.4921259845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39997558519241921"/>
  </sheetPr>
  <dimension ref="A1:K4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9.42578125" style="12" customWidth="1"/>
    <col min="6" max="6" width="9.7109375" style="5" bestFit="1" customWidth="1"/>
    <col min="7" max="7" width="10.28515625" bestFit="1" customWidth="1"/>
    <col min="8" max="8" width="5.85546875" customWidth="1"/>
    <col min="9" max="9" width="7.7109375" style="33" bestFit="1" customWidth="1"/>
    <col min="10" max="10" width="8.140625" style="2" customWidth="1"/>
    <col min="11" max="11" width="6.85546875" style="12" customWidth="1"/>
  </cols>
  <sheetData>
    <row r="1" spans="1:11" s="41" customFormat="1" x14ac:dyDescent="0.2">
      <c r="A1" s="32" t="s">
        <v>55</v>
      </c>
      <c r="B1" s="75" t="s">
        <v>0</v>
      </c>
      <c r="C1" s="232" t="s">
        <v>243</v>
      </c>
      <c r="D1" s="366" t="s">
        <v>2</v>
      </c>
      <c r="E1" s="77" t="s">
        <v>242</v>
      </c>
      <c r="F1" s="78" t="s">
        <v>24</v>
      </c>
      <c r="G1" s="76" t="s">
        <v>1</v>
      </c>
      <c r="H1" s="24" t="s">
        <v>3</v>
      </c>
      <c r="I1" s="24" t="s">
        <v>438</v>
      </c>
      <c r="J1" s="22" t="s">
        <v>4</v>
      </c>
      <c r="K1" s="23" t="s">
        <v>243</v>
      </c>
    </row>
    <row r="2" spans="1:11" x14ac:dyDescent="0.2">
      <c r="A2" s="1" t="s">
        <v>505</v>
      </c>
      <c r="B2" s="2">
        <v>0.18375</v>
      </c>
      <c r="C2" s="14">
        <v>103.14</v>
      </c>
      <c r="D2" s="13">
        <v>1595</v>
      </c>
      <c r="E2" s="12">
        <v>23.3</v>
      </c>
      <c r="F2" s="5">
        <v>135</v>
      </c>
      <c r="G2" s="13">
        <v>555</v>
      </c>
      <c r="H2" s="6" t="s">
        <v>5</v>
      </c>
      <c r="I2" s="160" t="s">
        <v>439</v>
      </c>
      <c r="J2" s="2">
        <v>2.0833333333333332E-2</v>
      </c>
      <c r="K2" s="12">
        <v>30</v>
      </c>
    </row>
    <row r="3" spans="1:11" x14ac:dyDescent="0.2">
      <c r="A3" s="1" t="s">
        <v>545</v>
      </c>
      <c r="B3" s="2">
        <v>0.16821759259259259</v>
      </c>
      <c r="C3" s="11">
        <v>94.61</v>
      </c>
      <c r="D3" s="13">
        <v>1470</v>
      </c>
      <c r="E3" s="12">
        <v>23.4</v>
      </c>
      <c r="F3" s="5">
        <v>135</v>
      </c>
      <c r="G3" s="13">
        <v>530</v>
      </c>
      <c r="H3" s="6" t="s">
        <v>5</v>
      </c>
      <c r="I3" s="160" t="s">
        <v>439</v>
      </c>
      <c r="J3" s="2">
        <v>2.0833333333333332E-2</v>
      </c>
      <c r="K3" s="12">
        <v>30</v>
      </c>
    </row>
    <row r="4" spans="1:11" x14ac:dyDescent="0.2">
      <c r="A4" s="1" t="s">
        <v>49</v>
      </c>
      <c r="B4" s="2">
        <v>0.18725694444444443</v>
      </c>
      <c r="C4" s="11">
        <v>70.78</v>
      </c>
      <c r="D4" s="13">
        <v>1452</v>
      </c>
      <c r="E4" s="12">
        <v>15.7</v>
      </c>
      <c r="F4" s="5">
        <v>120</v>
      </c>
      <c r="G4" s="8">
        <v>425</v>
      </c>
      <c r="H4" s="6" t="s">
        <v>6</v>
      </c>
      <c r="I4" s="234" t="s">
        <v>440</v>
      </c>
      <c r="J4" s="17">
        <v>1.0416666666666666E-2</v>
      </c>
      <c r="K4" s="20">
        <v>18</v>
      </c>
    </row>
    <row r="5" spans="1:11" x14ac:dyDescent="0.2">
      <c r="A5" s="1" t="s">
        <v>526</v>
      </c>
      <c r="B5" s="2">
        <v>0.17927083333333335</v>
      </c>
      <c r="C5" s="3">
        <v>102.45</v>
      </c>
      <c r="D5" s="84">
        <v>1440</v>
      </c>
      <c r="E5" s="4">
        <v>23.8</v>
      </c>
      <c r="F5" s="5">
        <v>129</v>
      </c>
      <c r="G5" s="13">
        <v>581</v>
      </c>
      <c r="H5" s="6" t="s">
        <v>5</v>
      </c>
      <c r="I5" s="160" t="s">
        <v>439</v>
      </c>
      <c r="J5" s="2">
        <v>3.472222222222222E-3</v>
      </c>
      <c r="K5" s="12">
        <v>3.3</v>
      </c>
    </row>
    <row r="6" spans="1:11" x14ac:dyDescent="0.2">
      <c r="A6" s="1" t="s">
        <v>172</v>
      </c>
      <c r="B6" s="2">
        <v>0.16409722222222223</v>
      </c>
      <c r="C6" s="14">
        <v>61.8</v>
      </c>
      <c r="D6" s="13">
        <v>1439</v>
      </c>
      <c r="E6" s="9">
        <v>15.6</v>
      </c>
      <c r="F6" s="5">
        <v>150</v>
      </c>
      <c r="G6" s="13">
        <v>504</v>
      </c>
      <c r="H6" t="s">
        <v>6</v>
      </c>
      <c r="I6" s="234" t="s">
        <v>440</v>
      </c>
      <c r="J6" s="2">
        <v>1.3888888888888888E-2</v>
      </c>
      <c r="K6" s="12">
        <v>20</v>
      </c>
    </row>
    <row r="7" spans="1:11" x14ac:dyDescent="0.2">
      <c r="A7" s="1" t="s">
        <v>726</v>
      </c>
      <c r="B7" s="2">
        <v>0.14489999999999997</v>
      </c>
      <c r="C7" s="11">
        <v>43.47</v>
      </c>
      <c r="D7" s="13">
        <v>1437</v>
      </c>
      <c r="E7" s="9">
        <v>12.5</v>
      </c>
      <c r="F7" s="5">
        <v>127</v>
      </c>
      <c r="G7" s="13">
        <v>452</v>
      </c>
      <c r="H7" s="6" t="s">
        <v>6</v>
      </c>
      <c r="I7" s="160" t="s">
        <v>525</v>
      </c>
      <c r="J7" s="2">
        <v>0</v>
      </c>
      <c r="K7" s="12">
        <v>0</v>
      </c>
    </row>
    <row r="8" spans="1:11" x14ac:dyDescent="0.2">
      <c r="A8" s="1" t="s">
        <v>448</v>
      </c>
      <c r="B8" s="2">
        <v>0.17422453703703702</v>
      </c>
      <c r="C8" s="120">
        <v>96.42</v>
      </c>
      <c r="D8" s="13">
        <v>1385</v>
      </c>
      <c r="E8" s="9">
        <v>23</v>
      </c>
      <c r="F8" s="5">
        <v>140</v>
      </c>
      <c r="G8" s="13">
        <v>586</v>
      </c>
      <c r="H8" s="231" t="s">
        <v>5</v>
      </c>
      <c r="I8" s="160" t="s">
        <v>439</v>
      </c>
      <c r="J8" s="2">
        <v>2.0833333333333332E-2</v>
      </c>
      <c r="K8" s="12">
        <v>30</v>
      </c>
    </row>
    <row r="9" spans="1:11" x14ac:dyDescent="0.2">
      <c r="A9" s="1" t="s">
        <v>527</v>
      </c>
      <c r="B9" s="2">
        <v>0.14432870370370371</v>
      </c>
      <c r="C9" s="3">
        <v>80.739999999999995</v>
      </c>
      <c r="D9" s="5">
        <v>1300</v>
      </c>
      <c r="E9" s="12">
        <v>23.3</v>
      </c>
      <c r="F9" s="5">
        <v>135</v>
      </c>
      <c r="G9" s="13">
        <v>522</v>
      </c>
      <c r="H9" s="231" t="s">
        <v>5</v>
      </c>
      <c r="I9" s="160" t="s">
        <v>439</v>
      </c>
      <c r="J9" s="2">
        <v>2.0833333333333332E-2</v>
      </c>
      <c r="K9" s="12">
        <v>30</v>
      </c>
    </row>
    <row r="10" spans="1:11" x14ac:dyDescent="0.2">
      <c r="A10" s="1" t="s">
        <v>46</v>
      </c>
      <c r="B10" s="2">
        <v>0.18905092592592596</v>
      </c>
      <c r="C10" s="3">
        <v>64.680000000000007</v>
      </c>
      <c r="D10" s="8">
        <v>1264</v>
      </c>
      <c r="E10" s="12">
        <v>14.2</v>
      </c>
      <c r="F10" s="5">
        <v>160</v>
      </c>
      <c r="G10" s="13">
        <v>546</v>
      </c>
      <c r="H10" s="6" t="s">
        <v>6</v>
      </c>
      <c r="I10" s="234" t="s">
        <v>440</v>
      </c>
      <c r="J10" s="17">
        <v>4.1666666666666664E-2</v>
      </c>
      <c r="K10" s="20">
        <v>80</v>
      </c>
    </row>
    <row r="11" spans="1:11" x14ac:dyDescent="0.2">
      <c r="A11" s="1" t="s">
        <v>190</v>
      </c>
      <c r="B11" s="2">
        <v>0.17681712962962962</v>
      </c>
      <c r="C11" s="14">
        <v>63.71</v>
      </c>
      <c r="D11" s="13">
        <v>1194</v>
      </c>
      <c r="E11" s="4">
        <v>15</v>
      </c>
      <c r="F11" s="5">
        <v>140</v>
      </c>
      <c r="G11" s="8">
        <v>521</v>
      </c>
      <c r="H11" s="6" t="s">
        <v>6</v>
      </c>
      <c r="I11" s="234" t="s">
        <v>439</v>
      </c>
      <c r="J11" s="2">
        <v>2.0833333333333332E-2</v>
      </c>
      <c r="K11" s="12">
        <v>30</v>
      </c>
    </row>
    <row r="12" spans="1:11" x14ac:dyDescent="0.2">
      <c r="A12" s="1" t="s">
        <v>173</v>
      </c>
      <c r="B12" s="2">
        <v>0.18263888888888891</v>
      </c>
      <c r="C12" s="3">
        <v>65.06</v>
      </c>
      <c r="D12" s="13">
        <v>1020</v>
      </c>
      <c r="E12" s="9">
        <v>14.8</v>
      </c>
      <c r="F12" s="5">
        <v>140</v>
      </c>
      <c r="G12" s="13">
        <v>507</v>
      </c>
      <c r="H12" s="6" t="s">
        <v>6</v>
      </c>
      <c r="I12" s="234" t="s">
        <v>439</v>
      </c>
      <c r="J12" s="17">
        <v>2.0833333333333332E-2</v>
      </c>
      <c r="K12" s="20">
        <v>30</v>
      </c>
    </row>
    <row r="13" spans="1:11" x14ac:dyDescent="0.2">
      <c r="A13" s="1" t="s">
        <v>167</v>
      </c>
      <c r="B13" s="2">
        <v>0.16677083333333334</v>
      </c>
      <c r="C13" s="11">
        <v>104.44</v>
      </c>
      <c r="D13" s="13">
        <v>915</v>
      </c>
      <c r="E13" s="4">
        <v>26.2</v>
      </c>
      <c r="F13" s="5">
        <v>122</v>
      </c>
      <c r="G13" s="13">
        <v>544</v>
      </c>
      <c r="H13" s="233" t="s">
        <v>5</v>
      </c>
      <c r="I13" s="234" t="s">
        <v>440</v>
      </c>
      <c r="J13" s="2">
        <v>0</v>
      </c>
      <c r="K13" s="12">
        <v>0</v>
      </c>
    </row>
    <row r="14" spans="1:11" x14ac:dyDescent="0.2">
      <c r="A14" s="1" t="s">
        <v>174</v>
      </c>
      <c r="B14" s="2">
        <v>0.13818287037037039</v>
      </c>
      <c r="C14" s="14">
        <v>53.14</v>
      </c>
      <c r="D14" s="13">
        <v>846</v>
      </c>
      <c r="E14" s="9">
        <v>16</v>
      </c>
      <c r="F14" s="5">
        <v>230</v>
      </c>
      <c r="G14" s="13">
        <v>567</v>
      </c>
      <c r="H14" s="6" t="s">
        <v>6</v>
      </c>
      <c r="I14" s="234" t="s">
        <v>439</v>
      </c>
      <c r="J14" s="2">
        <v>4.1666666666666664E-2</v>
      </c>
      <c r="K14" s="12">
        <v>70</v>
      </c>
    </row>
    <row r="15" spans="1:11" x14ac:dyDescent="0.2">
      <c r="A15" s="1" t="s">
        <v>236</v>
      </c>
      <c r="B15" s="2">
        <v>0.11803240740740741</v>
      </c>
      <c r="C15" s="14">
        <v>39.42</v>
      </c>
      <c r="D15" s="13">
        <v>827</v>
      </c>
      <c r="E15" s="12">
        <v>13.9</v>
      </c>
      <c r="F15" s="5">
        <v>130</v>
      </c>
      <c r="G15" s="13">
        <v>482</v>
      </c>
      <c r="H15" t="s">
        <v>6</v>
      </c>
      <c r="I15" s="234" t="s">
        <v>441</v>
      </c>
      <c r="J15" s="2">
        <v>6.9444444444444441E-3</v>
      </c>
      <c r="K15" s="12">
        <v>10</v>
      </c>
    </row>
    <row r="16" spans="1:11" x14ac:dyDescent="0.2">
      <c r="A16" s="1" t="s">
        <v>176</v>
      </c>
      <c r="B16" s="2">
        <v>0.1265162037037037</v>
      </c>
      <c r="C16" s="14">
        <v>38.090000000000003</v>
      </c>
      <c r="D16" s="8">
        <v>825</v>
      </c>
      <c r="E16" s="4">
        <v>12.5</v>
      </c>
      <c r="F16" s="5">
        <v>130</v>
      </c>
      <c r="G16" s="13">
        <v>482</v>
      </c>
      <c r="H16" s="6" t="s">
        <v>6</v>
      </c>
      <c r="I16" s="234" t="s">
        <v>439</v>
      </c>
      <c r="J16" s="2">
        <v>0</v>
      </c>
      <c r="K16" s="12">
        <v>0</v>
      </c>
    </row>
    <row r="17" spans="1:11" x14ac:dyDescent="0.2">
      <c r="A17" s="1" t="s">
        <v>175</v>
      </c>
      <c r="B17" s="2">
        <v>0.12061342592592593</v>
      </c>
      <c r="C17" s="3">
        <v>34.799999999999997</v>
      </c>
      <c r="D17" s="13">
        <v>756</v>
      </c>
      <c r="E17" s="12">
        <v>12</v>
      </c>
      <c r="F17" s="5">
        <v>140</v>
      </c>
      <c r="G17" s="13">
        <v>358</v>
      </c>
      <c r="H17" s="6" t="s">
        <v>6</v>
      </c>
      <c r="I17" s="234" t="s">
        <v>439</v>
      </c>
      <c r="J17" s="2">
        <v>2.7083333333333334E-2</v>
      </c>
      <c r="K17" s="12">
        <v>37</v>
      </c>
    </row>
    <row r="18" spans="1:11" x14ac:dyDescent="0.2">
      <c r="A18" s="1" t="s">
        <v>668</v>
      </c>
      <c r="B18" s="2">
        <v>0.13194444444444445</v>
      </c>
      <c r="C18" s="3">
        <v>41.87</v>
      </c>
      <c r="D18" s="13">
        <v>750</v>
      </c>
      <c r="E18" s="12">
        <v>13.2</v>
      </c>
      <c r="F18" s="5">
        <v>125</v>
      </c>
      <c r="G18" s="13">
        <v>437</v>
      </c>
      <c r="H18" t="s">
        <v>6</v>
      </c>
      <c r="I18" s="160" t="s">
        <v>439</v>
      </c>
      <c r="J18" s="2">
        <v>2.0833333333333332E-2</v>
      </c>
      <c r="K18" s="12">
        <v>30</v>
      </c>
    </row>
    <row r="19" spans="1:11" x14ac:dyDescent="0.2">
      <c r="A19" s="1" t="s">
        <v>716</v>
      </c>
      <c r="B19" s="2">
        <v>0.20462962962962961</v>
      </c>
      <c r="C19" s="14">
        <v>66.3</v>
      </c>
      <c r="D19" s="8">
        <v>750</v>
      </c>
      <c r="E19" s="4">
        <v>13.5</v>
      </c>
      <c r="F19" s="5">
        <v>120</v>
      </c>
      <c r="G19" s="13">
        <v>520</v>
      </c>
      <c r="H19" s="6" t="s">
        <v>6</v>
      </c>
      <c r="I19" s="234" t="s">
        <v>642</v>
      </c>
      <c r="J19" s="2">
        <v>0</v>
      </c>
      <c r="K19" s="12">
        <v>0</v>
      </c>
    </row>
    <row r="20" spans="1:11" x14ac:dyDescent="0.2">
      <c r="A20" s="1" t="s">
        <v>735</v>
      </c>
      <c r="B20" s="2">
        <v>8.3333333333333329E-2</v>
      </c>
      <c r="C20" s="14">
        <v>34.1</v>
      </c>
      <c r="D20" s="13">
        <v>715</v>
      </c>
      <c r="E20" s="9">
        <v>17.100000000000001</v>
      </c>
      <c r="F20" s="5">
        <v>128</v>
      </c>
      <c r="G20" s="13">
        <v>420</v>
      </c>
      <c r="H20" t="s">
        <v>645</v>
      </c>
      <c r="I20" s="234" t="s">
        <v>525</v>
      </c>
      <c r="J20" s="2">
        <v>0</v>
      </c>
      <c r="K20" s="12">
        <v>0</v>
      </c>
    </row>
    <row r="21" spans="1:11" x14ac:dyDescent="0.2">
      <c r="A21" s="1" t="s">
        <v>528</v>
      </c>
      <c r="B21" s="2">
        <v>9.375E-2</v>
      </c>
      <c r="C21" s="3">
        <v>31</v>
      </c>
      <c r="D21" s="13">
        <v>600</v>
      </c>
      <c r="E21" s="4">
        <v>13.8</v>
      </c>
      <c r="F21" s="5">
        <v>430</v>
      </c>
      <c r="G21" s="13">
        <v>511</v>
      </c>
      <c r="H21" s="16" t="s">
        <v>6</v>
      </c>
      <c r="I21" s="160" t="s">
        <v>525</v>
      </c>
      <c r="J21" s="2">
        <v>7.9861111111111105E-2</v>
      </c>
      <c r="K21" s="12">
        <v>155</v>
      </c>
    </row>
    <row r="22" spans="1:11" x14ac:dyDescent="0.2">
      <c r="A22" s="1" t="s">
        <v>437</v>
      </c>
      <c r="B22" s="2">
        <v>0.10454861111111112</v>
      </c>
      <c r="C22" s="11">
        <v>42.72</v>
      </c>
      <c r="D22" s="13">
        <v>515</v>
      </c>
      <c r="E22" s="12">
        <v>17</v>
      </c>
      <c r="F22" s="5">
        <v>126</v>
      </c>
      <c r="G22" s="13">
        <v>457</v>
      </c>
      <c r="H22" t="s">
        <v>6</v>
      </c>
      <c r="I22" s="234" t="s">
        <v>441</v>
      </c>
      <c r="J22" s="2">
        <v>0</v>
      </c>
      <c r="K22" s="12">
        <v>0</v>
      </c>
    </row>
    <row r="23" spans="1:11" x14ac:dyDescent="0.2">
      <c r="A23" s="1" t="s">
        <v>643</v>
      </c>
      <c r="B23" s="2">
        <v>0.15833333333333333</v>
      </c>
      <c r="C23" s="3">
        <v>60.21</v>
      </c>
      <c r="D23" s="8">
        <v>510</v>
      </c>
      <c r="E23" s="4">
        <v>15.8</v>
      </c>
      <c r="F23" s="5">
        <v>122</v>
      </c>
      <c r="G23" s="13">
        <v>456</v>
      </c>
      <c r="H23" s="6" t="s">
        <v>6</v>
      </c>
      <c r="I23" s="160" t="s">
        <v>642</v>
      </c>
      <c r="J23" s="2">
        <v>0</v>
      </c>
      <c r="K23" s="12">
        <v>0</v>
      </c>
    </row>
    <row r="24" spans="1:11" x14ac:dyDescent="0.2">
      <c r="A24" s="1" t="s">
        <v>216</v>
      </c>
      <c r="B24" s="2">
        <v>8.7858796296296296E-2</v>
      </c>
      <c r="C24" s="3">
        <v>32.5</v>
      </c>
      <c r="D24" s="13">
        <v>500</v>
      </c>
      <c r="E24" s="9">
        <v>15.2</v>
      </c>
      <c r="F24" s="5">
        <v>130</v>
      </c>
      <c r="G24" s="13">
        <v>481</v>
      </c>
      <c r="H24" s="6" t="s">
        <v>6</v>
      </c>
      <c r="I24" s="235" t="s">
        <v>441</v>
      </c>
      <c r="J24" s="2">
        <v>0</v>
      </c>
      <c r="K24" s="12">
        <v>0</v>
      </c>
    </row>
    <row r="25" spans="1:11" x14ac:dyDescent="0.2">
      <c r="A25" s="1" t="s">
        <v>524</v>
      </c>
      <c r="B25" s="2">
        <v>8.2638888888888887E-2</v>
      </c>
      <c r="C25" s="11">
        <v>45.2</v>
      </c>
      <c r="D25" s="8">
        <v>465</v>
      </c>
      <c r="E25" s="12">
        <v>22.7</v>
      </c>
      <c r="F25" s="5">
        <v>129</v>
      </c>
      <c r="G25" s="13">
        <v>380</v>
      </c>
      <c r="H25" s="85" t="s">
        <v>398</v>
      </c>
      <c r="I25" s="236" t="s">
        <v>525</v>
      </c>
      <c r="J25" s="2">
        <v>0</v>
      </c>
      <c r="K25" s="12">
        <v>0</v>
      </c>
    </row>
    <row r="26" spans="1:11" x14ac:dyDescent="0.2">
      <c r="A26" s="1" t="s">
        <v>245</v>
      </c>
      <c r="B26" s="2">
        <v>6.6666666666666666E-2</v>
      </c>
      <c r="C26" s="3">
        <v>23</v>
      </c>
      <c r="D26" s="13">
        <v>280</v>
      </c>
      <c r="E26" s="12">
        <v>14.4</v>
      </c>
      <c r="F26" s="5">
        <v>135</v>
      </c>
      <c r="G26" s="13">
        <v>311</v>
      </c>
      <c r="H26" s="6" t="s">
        <v>6</v>
      </c>
      <c r="I26" s="234" t="s">
        <v>439</v>
      </c>
      <c r="J26" s="2">
        <v>2.2916666666666669E-2</v>
      </c>
      <c r="K26" s="12">
        <v>35.299999999999997</v>
      </c>
    </row>
    <row r="27" spans="1:11" x14ac:dyDescent="0.2">
      <c r="A27" s="1" t="s">
        <v>187</v>
      </c>
      <c r="B27" s="2">
        <v>0.11616898148148147</v>
      </c>
      <c r="C27" s="3">
        <v>59.94</v>
      </c>
      <c r="D27" s="8">
        <v>222</v>
      </c>
      <c r="E27" s="12">
        <v>21.4</v>
      </c>
      <c r="F27" s="5">
        <v>107</v>
      </c>
      <c r="G27" s="13">
        <v>200</v>
      </c>
      <c r="H27" s="6" t="s">
        <v>6</v>
      </c>
      <c r="I27" s="234" t="s">
        <v>439</v>
      </c>
      <c r="J27" s="2">
        <v>2.7083333333333334E-2</v>
      </c>
      <c r="K27" s="12">
        <v>37</v>
      </c>
    </row>
    <row r="28" spans="1:11" x14ac:dyDescent="0.2">
      <c r="A28" s="1" t="s">
        <v>254</v>
      </c>
      <c r="B28" s="2">
        <v>0.25582175925925926</v>
      </c>
      <c r="C28" s="3">
        <v>131.44</v>
      </c>
      <c r="D28" s="13">
        <v>173</v>
      </c>
      <c r="E28" s="12">
        <v>21.4</v>
      </c>
      <c r="F28" s="5">
        <v>110</v>
      </c>
      <c r="G28" s="13">
        <v>153</v>
      </c>
      <c r="H28" s="6" t="s">
        <v>6</v>
      </c>
      <c r="I28" s="234" t="s">
        <v>439</v>
      </c>
      <c r="J28" s="2">
        <v>0</v>
      </c>
      <c r="K28" s="12">
        <v>0</v>
      </c>
    </row>
    <row r="29" spans="1:11" x14ac:dyDescent="0.2">
      <c r="A29" s="1" t="s">
        <v>169</v>
      </c>
      <c r="B29" s="2">
        <v>0.11314814814814815</v>
      </c>
      <c r="C29" s="11">
        <v>75.53</v>
      </c>
      <c r="D29" s="13">
        <v>145</v>
      </c>
      <c r="E29" s="12">
        <v>27.8</v>
      </c>
      <c r="F29" s="5">
        <v>130</v>
      </c>
      <c r="G29" s="13">
        <v>137</v>
      </c>
      <c r="H29" s="6" t="s">
        <v>5</v>
      </c>
      <c r="I29" s="234" t="s">
        <v>440</v>
      </c>
      <c r="J29" s="2">
        <v>0</v>
      </c>
      <c r="K29" s="12">
        <v>0</v>
      </c>
    </row>
    <row r="30" spans="1:11" x14ac:dyDescent="0.2">
      <c r="A30" s="1" t="s">
        <v>168</v>
      </c>
      <c r="B30" s="2">
        <v>0.14136574074074074</v>
      </c>
      <c r="C30" s="3">
        <v>82.88</v>
      </c>
      <c r="D30" s="13">
        <v>119</v>
      </c>
      <c r="E30" s="12">
        <v>24.4</v>
      </c>
      <c r="F30" s="5">
        <v>130</v>
      </c>
      <c r="G30">
        <v>137</v>
      </c>
      <c r="H30" t="s">
        <v>5</v>
      </c>
      <c r="I30" s="234" t="s">
        <v>440</v>
      </c>
      <c r="J30" s="2">
        <v>0</v>
      </c>
      <c r="K30" s="12">
        <v>0</v>
      </c>
    </row>
    <row r="31" spans="1:11" x14ac:dyDescent="0.2">
      <c r="A31" s="1"/>
      <c r="C31" s="3"/>
      <c r="D31" s="13"/>
      <c r="E31" s="9"/>
      <c r="G31" s="13"/>
      <c r="I31" s="160"/>
    </row>
    <row r="32" spans="1:11" x14ac:dyDescent="0.2">
      <c r="A32" s="1"/>
      <c r="C32" s="3"/>
      <c r="D32" s="13"/>
      <c r="E32" s="4"/>
      <c r="G32" s="13"/>
      <c r="I32" s="237"/>
    </row>
    <row r="33" spans="1:9" x14ac:dyDescent="0.2">
      <c r="A33" s="1"/>
      <c r="D33" s="13"/>
      <c r="E33" s="4"/>
      <c r="G33" s="13"/>
      <c r="I33" s="160"/>
    </row>
    <row r="34" spans="1:9" x14ac:dyDescent="0.2">
      <c r="A34" s="1"/>
      <c r="G34" s="13"/>
      <c r="I34" s="160"/>
    </row>
    <row r="35" spans="1:9" x14ac:dyDescent="0.2">
      <c r="A35" s="1"/>
      <c r="G35" s="13"/>
      <c r="I35" s="160"/>
    </row>
    <row r="36" spans="1:9" x14ac:dyDescent="0.2">
      <c r="A36" s="1"/>
      <c r="G36" s="13"/>
      <c r="I36" s="160"/>
    </row>
    <row r="37" spans="1:9" x14ac:dyDescent="0.2">
      <c r="A37" s="1"/>
      <c r="I37" s="160"/>
    </row>
    <row r="38" spans="1:9" x14ac:dyDescent="0.2">
      <c r="I38" s="160"/>
    </row>
    <row r="39" spans="1:9" x14ac:dyDescent="0.2">
      <c r="E39" s="4"/>
      <c r="I39" s="160"/>
    </row>
    <row r="42" spans="1:9" x14ac:dyDescent="0.2">
      <c r="E42" s="4"/>
    </row>
  </sheetData>
  <sortState ref="A2:L30">
    <sortCondition descending="1" ref="D1"/>
  </sortState>
  <phoneticPr fontId="9" type="noConversion"/>
  <conditionalFormatting sqref="E1:E1048576">
    <cfRule type="cellIs" dxfId="1364" priority="107" stopIfTrue="1" operator="between">
      <formula>0</formula>
      <formula>19.99</formula>
    </cfRule>
    <cfRule type="cellIs" dxfId="1363" priority="108" stopIfTrue="1" operator="between">
      <formula>20</formula>
      <formula>24.99</formula>
    </cfRule>
    <cfRule type="cellIs" dxfId="1362" priority="109" stopIfTrue="1" operator="between">
      <formula>25</formula>
      <formula>99.99</formula>
    </cfRule>
  </conditionalFormatting>
  <conditionalFormatting sqref="J1:J1048576">
    <cfRule type="cellIs" dxfId="1361" priority="95" operator="equal">
      <formula>0</formula>
    </cfRule>
    <cfRule type="cellIs" dxfId="1360" priority="96" stopIfTrue="1" operator="between">
      <formula>0.0000115740740740741</formula>
      <formula>0.0416550925925926</formula>
    </cfRule>
    <cfRule type="cellIs" dxfId="1359" priority="97" stopIfTrue="1" operator="between">
      <formula>0.0416666666666667</formula>
      <formula>0.0833217592592593</formula>
    </cfRule>
    <cfRule type="cellIs" dxfId="1358" priority="98" stopIfTrue="1" operator="between">
      <formula>0.0833333333333333</formula>
      <formula>4.16665509259259</formula>
    </cfRule>
  </conditionalFormatting>
  <conditionalFormatting sqref="K1:K1048576">
    <cfRule type="cellIs" dxfId="1357" priority="91" operator="equal">
      <formula>0</formula>
    </cfRule>
    <cfRule type="cellIs" dxfId="1356" priority="92" stopIfTrue="1" operator="between">
      <formula>0.1</formula>
      <formula>99.9</formula>
    </cfRule>
    <cfRule type="cellIs" dxfId="1355" priority="93" stopIfTrue="1" operator="between">
      <formula>100</formula>
      <formula>199.9</formula>
    </cfRule>
    <cfRule type="cellIs" dxfId="1354" priority="94" stopIfTrue="1" operator="between">
      <formula>200</formula>
      <formula>9999</formula>
    </cfRule>
  </conditionalFormatting>
  <conditionalFormatting sqref="I1:I1048576">
    <cfRule type="cellIs" dxfId="1353" priority="25" operator="equal">
      <formula>"WB"</formula>
    </cfRule>
    <cfRule type="cellIs" dxfId="1352" priority="40" operator="equal">
      <formula>"BB"</formula>
    </cfRule>
    <cfRule type="cellIs" dxfId="1351" priority="44" operator="equal">
      <formula>"EB"</formula>
    </cfRule>
    <cfRule type="cellIs" dxfId="1350" priority="45" operator="equal">
      <formula>"SB"</formula>
    </cfRule>
    <cfRule type="cellIs" dxfId="1349" priority="46" operator="equal">
      <formula>"AB"</formula>
    </cfRule>
  </conditionalFormatting>
  <conditionalFormatting sqref="B1:B1048576">
    <cfRule type="cellIs" dxfId="1348" priority="35" stopIfTrue="1" operator="between">
      <formula>0</formula>
      <formula>0.041666665</formula>
    </cfRule>
    <cfRule type="cellIs" dxfId="1347" priority="36" stopIfTrue="1" operator="between">
      <formula>0.0416666666666667</formula>
      <formula>0.124999884259259</formula>
    </cfRule>
    <cfRule type="cellIs" dxfId="1346" priority="37" stopIfTrue="1" operator="between">
      <formula>0.125</formula>
      <formula>0.166666550925926</formula>
    </cfRule>
    <cfRule type="cellIs" dxfId="1345" priority="38" stopIfTrue="1" operator="between">
      <formula>0.0833333333333333</formula>
      <formula>0.208333217592593</formula>
    </cfRule>
    <cfRule type="cellIs" dxfId="1344" priority="39" stopIfTrue="1" operator="between">
      <formula>0.208333333333333</formula>
      <formula>4.16666655092593</formula>
    </cfRule>
  </conditionalFormatting>
  <conditionalFormatting sqref="G1:G1048576">
    <cfRule type="cellIs" dxfId="1343" priority="29" stopIfTrue="1" operator="between">
      <formula>0</formula>
      <formula>399.99</formula>
    </cfRule>
    <cfRule type="cellIs" dxfId="1342" priority="30" stopIfTrue="1" operator="between">
      <formula>400</formula>
      <formula>449.99</formula>
    </cfRule>
    <cfRule type="cellIs" dxfId="1341" priority="31" stopIfTrue="1" operator="between">
      <formula>450</formula>
      <formula>499.99</formula>
    </cfRule>
    <cfRule type="cellIs" dxfId="1340" priority="32" stopIfTrue="1" operator="between">
      <formula>500</formula>
      <formula>549.99</formula>
    </cfRule>
    <cfRule type="cellIs" dxfId="1339" priority="33" stopIfTrue="1" operator="between">
      <formula>550</formula>
      <formula>599.99</formula>
    </cfRule>
  </conditionalFormatting>
  <conditionalFormatting sqref="G1:G1048576">
    <cfRule type="cellIs" dxfId="1338" priority="34" stopIfTrue="1" operator="between">
      <formula>600</formula>
      <formula>9999.99</formula>
    </cfRule>
  </conditionalFormatting>
  <conditionalFormatting sqref="F1:F1048576">
    <cfRule type="cellIs" dxfId="1337" priority="26" stopIfTrue="1" operator="between">
      <formula>0</formula>
      <formula>199.99</formula>
    </cfRule>
    <cfRule type="cellIs" dxfId="1336" priority="27" stopIfTrue="1" operator="between">
      <formula>200</formula>
      <formula>399.99</formula>
    </cfRule>
    <cfRule type="cellIs" dxfId="1335" priority="28" stopIfTrue="1" operator="between">
      <formula>400</formula>
      <formula>9999.99</formula>
    </cfRule>
  </conditionalFormatting>
  <conditionalFormatting sqref="H1:H1048576">
    <cfRule type="cellIs" dxfId="1334" priority="15" stopIfTrue="1" operator="equal">
      <formula>"CR"</formula>
    </cfRule>
    <cfRule type="cellIs" dxfId="1333" priority="16" stopIfTrue="1" operator="equal">
      <formula>"FB"</formula>
    </cfRule>
    <cfRule type="cellIs" dxfId="1332" priority="17" stopIfTrue="1" operator="equal">
      <formula>"RR"</formula>
    </cfRule>
    <cfRule type="cellIs" dxfId="1331" priority="18" stopIfTrue="1" operator="equal">
      <formula>"MTB"</formula>
    </cfRule>
  </conditionalFormatting>
  <conditionalFormatting sqref="A1:A1048576">
    <cfRule type="expression" dxfId="1330" priority="11" stopIfTrue="1">
      <formula>H1="CR"</formula>
    </cfRule>
    <cfRule type="expression" dxfId="1329" priority="12" stopIfTrue="1">
      <formula>H1="RR"</formula>
    </cfRule>
    <cfRule type="expression" dxfId="1328" priority="13" stopIfTrue="1">
      <formula>H1="FB"</formula>
    </cfRule>
    <cfRule type="expression" dxfId="1327" priority="14">
      <formula>H1="MTB"</formula>
    </cfRule>
  </conditionalFormatting>
  <conditionalFormatting sqref="C1:C1048576">
    <cfRule type="cellIs" dxfId="1326" priority="7" stopIfTrue="1" operator="between">
      <formula>0</formula>
      <formula>19.99</formula>
    </cfRule>
    <cfRule type="cellIs" dxfId="1325" priority="8" stopIfTrue="1" operator="between">
      <formula>20</formula>
      <formula>49.99</formula>
    </cfRule>
    <cfRule type="cellIs" dxfId="1324" priority="9" stopIfTrue="1" operator="between">
      <formula>50</formula>
      <formula>99.9999</formula>
    </cfRule>
    <cfRule type="cellIs" dxfId="1323" priority="10" stopIfTrue="1" operator="between">
      <formula>100</formula>
      <formula>9999</formula>
    </cfRule>
  </conditionalFormatting>
  <conditionalFormatting sqref="D1:D1048576">
    <cfRule type="cellIs" dxfId="1322" priority="1" stopIfTrue="1" operator="between">
      <formula>0</formula>
      <formula>99.99</formula>
    </cfRule>
    <cfRule type="cellIs" dxfId="1321" priority="2" stopIfTrue="1" operator="between">
      <formula>100</formula>
      <formula>499.99</formula>
    </cfRule>
    <cfRule type="cellIs" dxfId="1320" priority="3" stopIfTrue="1" operator="between">
      <formula>500</formula>
      <formula>999.99</formula>
    </cfRule>
    <cfRule type="cellIs" dxfId="1319" priority="4" stopIfTrue="1" operator="between">
      <formula>1000</formula>
      <formula>1499.99</formula>
    </cfRule>
    <cfRule type="cellIs" dxfId="1318" priority="5" stopIfTrue="1" operator="between">
      <formula>1500</formula>
      <formula>1999.99</formula>
    </cfRule>
  </conditionalFormatting>
  <conditionalFormatting sqref="D1:D1048576">
    <cfRule type="cellIs" dxfId="1317" priority="6" stopIfTrue="1" operator="between">
      <formula>2000</formula>
      <formula>9999.99</formula>
    </cfRule>
  </conditionalFormatting>
  <hyperlinks>
    <hyperlink ref="A1" r:id="rId1" tooltip="Normalstartpunkt für Touren ohne Anfahrt"/>
  </hyperlinks>
  <pageMargins left="0.78740157499999996" right="0.78740157499999996" top="0.984251969" bottom="0.984251969" header="0.4921259845" footer="0.4921259845"/>
  <pageSetup paperSize="9" orientation="portrait" horizontalDpi="4294967293" r:id="rId2"/>
  <headerFooter alignWithMargins="0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FF33"/>
  </sheetPr>
  <dimension ref="A1:N4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9.42578125" style="12" customWidth="1"/>
    <col min="6" max="6" width="9.7109375" style="5" bestFit="1" customWidth="1"/>
    <col min="7" max="7" width="10.28515625" bestFit="1" customWidth="1"/>
    <col min="8" max="8" width="5.85546875" customWidth="1"/>
    <col min="9" max="9" width="9" style="2" customWidth="1"/>
    <col min="10" max="10" width="6.85546875" style="12" customWidth="1"/>
    <col min="11" max="11" width="5" style="5" bestFit="1" customWidth="1"/>
    <col min="12" max="12" width="5.28515625" style="12" bestFit="1" customWidth="1"/>
    <col min="13" max="13" width="6.42578125" bestFit="1" customWidth="1"/>
    <col min="14" max="14" width="8.85546875" bestFit="1" customWidth="1"/>
  </cols>
  <sheetData>
    <row r="1" spans="1:14" s="41" customFormat="1" x14ac:dyDescent="0.2">
      <c r="A1" s="32"/>
      <c r="B1" s="75" t="s">
        <v>0</v>
      </c>
      <c r="C1" s="367" t="s">
        <v>243</v>
      </c>
      <c r="D1" s="76" t="s">
        <v>2</v>
      </c>
      <c r="E1" s="77" t="s">
        <v>242</v>
      </c>
      <c r="F1" s="78" t="s">
        <v>24</v>
      </c>
      <c r="G1" s="79" t="s">
        <v>1</v>
      </c>
      <c r="H1" s="24" t="s">
        <v>3</v>
      </c>
      <c r="I1" s="22" t="s">
        <v>4</v>
      </c>
      <c r="J1" s="23" t="s">
        <v>243</v>
      </c>
      <c r="K1" s="47" t="s">
        <v>284</v>
      </c>
      <c r="L1" s="23" t="s">
        <v>285</v>
      </c>
      <c r="M1" s="21" t="s">
        <v>35</v>
      </c>
      <c r="N1" s="21" t="s">
        <v>36</v>
      </c>
    </row>
    <row r="2" spans="1:14" x14ac:dyDescent="0.2">
      <c r="A2" s="1" t="s">
        <v>159</v>
      </c>
      <c r="B2" s="2">
        <v>0.27480324074074075</v>
      </c>
      <c r="C2" s="14">
        <v>207</v>
      </c>
      <c r="D2" s="13">
        <v>220</v>
      </c>
      <c r="E2" s="12">
        <v>31.4</v>
      </c>
      <c r="F2" s="5">
        <v>88</v>
      </c>
      <c r="G2" s="13">
        <v>106</v>
      </c>
      <c r="H2" s="6" t="s">
        <v>5</v>
      </c>
      <c r="I2" s="2">
        <v>3.4722222222222224E-2</v>
      </c>
      <c r="J2" s="12">
        <v>98</v>
      </c>
      <c r="K2" s="5">
        <v>2008</v>
      </c>
      <c r="L2" s="150" t="s">
        <v>286</v>
      </c>
      <c r="M2" s="7" t="s">
        <v>20</v>
      </c>
      <c r="N2" s="7" t="s">
        <v>43</v>
      </c>
    </row>
    <row r="3" spans="1:14" x14ac:dyDescent="0.2">
      <c r="A3" s="1" t="s">
        <v>449</v>
      </c>
      <c r="B3" s="2">
        <v>0.19278935185185186</v>
      </c>
      <c r="C3" s="11">
        <v>124</v>
      </c>
      <c r="D3" s="13">
        <v>1445</v>
      </c>
      <c r="E3" s="4">
        <v>26.8</v>
      </c>
      <c r="F3" s="5">
        <v>127</v>
      </c>
      <c r="G3" s="8">
        <v>393</v>
      </c>
      <c r="H3" s="6" t="s">
        <v>5</v>
      </c>
      <c r="I3" s="2">
        <v>0</v>
      </c>
      <c r="J3" s="12">
        <v>0</v>
      </c>
      <c r="K3" s="5">
        <v>2011</v>
      </c>
      <c r="L3" s="12" t="s">
        <v>287</v>
      </c>
      <c r="M3" s="7" t="s">
        <v>20</v>
      </c>
      <c r="N3" s="7"/>
    </row>
    <row r="4" spans="1:14" x14ac:dyDescent="0.2">
      <c r="A4" s="1" t="s">
        <v>263</v>
      </c>
      <c r="B4" s="2">
        <v>0.18667824074074071</v>
      </c>
      <c r="C4" s="11">
        <v>124</v>
      </c>
      <c r="D4" s="13">
        <v>1445</v>
      </c>
      <c r="E4" s="12">
        <v>27.7</v>
      </c>
      <c r="F4" s="5">
        <v>127</v>
      </c>
      <c r="G4" s="5">
        <v>393</v>
      </c>
      <c r="H4" s="6" t="s">
        <v>5</v>
      </c>
      <c r="I4" s="2">
        <v>0</v>
      </c>
      <c r="J4" s="12">
        <v>0</v>
      </c>
      <c r="K4" s="5">
        <v>2009</v>
      </c>
      <c r="L4" s="150" t="s">
        <v>287</v>
      </c>
      <c r="M4" s="7" t="s">
        <v>20</v>
      </c>
      <c r="N4" s="7"/>
    </row>
    <row r="5" spans="1:14" x14ac:dyDescent="0.2">
      <c r="A5" s="1" t="s">
        <v>283</v>
      </c>
      <c r="B5" s="2">
        <v>0.19357638888888887</v>
      </c>
      <c r="C5" s="3">
        <v>115</v>
      </c>
      <c r="D5" s="84">
        <v>1241</v>
      </c>
      <c r="E5" s="9">
        <v>24.8</v>
      </c>
      <c r="F5" s="5">
        <v>110</v>
      </c>
      <c r="G5" s="13">
        <v>565</v>
      </c>
      <c r="H5" s="6" t="s">
        <v>5</v>
      </c>
      <c r="I5" s="2">
        <v>1.8055555555555557E-2</v>
      </c>
      <c r="J5" s="12">
        <v>39</v>
      </c>
      <c r="K5" s="5">
        <v>2009</v>
      </c>
      <c r="L5" s="150" t="s">
        <v>287</v>
      </c>
      <c r="M5" s="7" t="s">
        <v>20</v>
      </c>
    </row>
    <row r="6" spans="1:14" x14ac:dyDescent="0.2">
      <c r="A6" s="1" t="s">
        <v>160</v>
      </c>
      <c r="B6" s="2">
        <v>0.16662037037037036</v>
      </c>
      <c r="C6" s="14">
        <v>115</v>
      </c>
      <c r="D6" s="13">
        <v>1335</v>
      </c>
      <c r="E6" s="12">
        <v>28.8</v>
      </c>
      <c r="F6" s="5">
        <v>250</v>
      </c>
      <c r="G6" s="13">
        <v>835</v>
      </c>
      <c r="H6" s="6" t="s">
        <v>5</v>
      </c>
      <c r="I6" s="2">
        <v>6.25E-2</v>
      </c>
      <c r="J6" s="12">
        <v>144</v>
      </c>
      <c r="K6" s="5">
        <v>2008</v>
      </c>
      <c r="L6" s="150" t="s">
        <v>287</v>
      </c>
      <c r="M6" s="7" t="s">
        <v>20</v>
      </c>
    </row>
    <row r="7" spans="1:14" x14ac:dyDescent="0.2">
      <c r="A7" s="1" t="s">
        <v>170</v>
      </c>
      <c r="B7" s="2">
        <v>0.17052083333333334</v>
      </c>
      <c r="C7" s="11">
        <v>115</v>
      </c>
      <c r="D7" s="13">
        <v>1445</v>
      </c>
      <c r="E7" s="4">
        <v>28.1</v>
      </c>
      <c r="F7" s="5">
        <v>132</v>
      </c>
      <c r="G7" s="13">
        <v>393</v>
      </c>
      <c r="H7" s="6" t="s">
        <v>5</v>
      </c>
      <c r="I7" s="2">
        <v>0</v>
      </c>
      <c r="J7" s="12">
        <v>0</v>
      </c>
      <c r="K7" s="5">
        <v>2008</v>
      </c>
      <c r="L7" s="150" t="s">
        <v>287</v>
      </c>
      <c r="M7" s="7" t="s">
        <v>20</v>
      </c>
      <c r="N7" s="7"/>
    </row>
    <row r="8" spans="1:14" x14ac:dyDescent="0.2">
      <c r="A8" s="1" t="s">
        <v>79</v>
      </c>
      <c r="B8" s="2">
        <v>0.16899305555555555</v>
      </c>
      <c r="C8" s="120">
        <v>115</v>
      </c>
      <c r="D8" s="13">
        <v>1241</v>
      </c>
      <c r="E8" s="4">
        <v>28.4</v>
      </c>
      <c r="F8" s="5">
        <v>110</v>
      </c>
      <c r="G8" s="8">
        <v>565</v>
      </c>
      <c r="H8" s="6" t="s">
        <v>5</v>
      </c>
      <c r="I8" s="2">
        <v>1.8055555555555557E-2</v>
      </c>
      <c r="J8" s="12">
        <v>39</v>
      </c>
      <c r="K8" s="5">
        <v>2007</v>
      </c>
      <c r="L8" s="150" t="s">
        <v>287</v>
      </c>
      <c r="M8" s="7" t="s">
        <v>20</v>
      </c>
    </row>
    <row r="9" spans="1:14" x14ac:dyDescent="0.2">
      <c r="A9" s="1" t="s">
        <v>80</v>
      </c>
      <c r="B9" s="2">
        <v>0.15592592592592594</v>
      </c>
      <c r="C9" s="3">
        <v>111</v>
      </c>
      <c r="D9" s="5">
        <v>720</v>
      </c>
      <c r="E9" s="12">
        <v>29.7</v>
      </c>
      <c r="F9" s="5">
        <v>126</v>
      </c>
      <c r="G9" s="13">
        <v>325</v>
      </c>
      <c r="H9" s="6" t="s">
        <v>5</v>
      </c>
      <c r="I9" s="2">
        <v>2.7777777777777776E-2</v>
      </c>
      <c r="J9" s="12">
        <v>50</v>
      </c>
      <c r="K9" s="5">
        <v>2007</v>
      </c>
      <c r="L9" s="150" t="s">
        <v>287</v>
      </c>
      <c r="M9" s="7" t="s">
        <v>20</v>
      </c>
    </row>
    <row r="10" spans="1:14" x14ac:dyDescent="0.2">
      <c r="A10" s="1" t="s">
        <v>81</v>
      </c>
      <c r="B10" s="2">
        <v>0.14103009259259258</v>
      </c>
      <c r="C10" s="3">
        <v>102</v>
      </c>
      <c r="D10" s="8">
        <v>1000</v>
      </c>
      <c r="E10" s="9">
        <v>30.134</v>
      </c>
      <c r="F10" s="5">
        <v>95</v>
      </c>
      <c r="G10" s="13">
        <v>541.5</v>
      </c>
      <c r="H10" s="6" t="s">
        <v>5</v>
      </c>
      <c r="I10" s="2">
        <v>3.888888888888889E-2</v>
      </c>
      <c r="J10" s="12">
        <v>88</v>
      </c>
      <c r="K10" s="5">
        <v>2007</v>
      </c>
      <c r="L10" s="150" t="s">
        <v>288</v>
      </c>
      <c r="M10" s="7" t="s">
        <v>20</v>
      </c>
    </row>
    <row r="11" spans="1:14" x14ac:dyDescent="0.2">
      <c r="A11" s="1" t="s">
        <v>590</v>
      </c>
      <c r="B11" s="2">
        <v>0.16900462962962962</v>
      </c>
      <c r="C11" s="14">
        <v>96.21</v>
      </c>
      <c r="D11" s="13">
        <v>1232</v>
      </c>
      <c r="E11" s="12">
        <v>23.7</v>
      </c>
      <c r="F11" s="5">
        <v>127</v>
      </c>
      <c r="G11" s="13">
        <v>393</v>
      </c>
      <c r="H11" s="231" t="s">
        <v>5</v>
      </c>
      <c r="I11" s="2">
        <v>0</v>
      </c>
      <c r="J11" s="12">
        <v>0</v>
      </c>
      <c r="K11" s="5">
        <v>2013</v>
      </c>
      <c r="L11" s="150" t="s">
        <v>287</v>
      </c>
      <c r="M11" s="7" t="s">
        <v>20</v>
      </c>
    </row>
    <row r="12" spans="1:14" x14ac:dyDescent="0.2">
      <c r="A12" s="1" t="s">
        <v>260</v>
      </c>
      <c r="B12" s="2">
        <v>0.14121527777777779</v>
      </c>
      <c r="C12" s="3">
        <v>88.12</v>
      </c>
      <c r="D12" s="13">
        <v>893</v>
      </c>
      <c r="E12" s="12">
        <v>26</v>
      </c>
      <c r="F12" s="5">
        <v>113</v>
      </c>
      <c r="G12" s="8">
        <v>444</v>
      </c>
      <c r="H12" s="6" t="s">
        <v>5</v>
      </c>
      <c r="I12" s="2">
        <v>2.0833333333333332E-2</v>
      </c>
      <c r="J12" s="12">
        <v>33</v>
      </c>
      <c r="K12" s="5">
        <v>2009</v>
      </c>
      <c r="L12" s="150" t="s">
        <v>287</v>
      </c>
      <c r="M12" s="7" t="s">
        <v>20</v>
      </c>
      <c r="N12" s="7"/>
    </row>
    <row r="13" spans="1:14" x14ac:dyDescent="0.2">
      <c r="A13" s="1" t="s">
        <v>82</v>
      </c>
      <c r="B13" s="2">
        <v>0.18292824074074074</v>
      </c>
      <c r="C13" s="11">
        <v>65</v>
      </c>
      <c r="D13" s="13">
        <v>1900</v>
      </c>
      <c r="E13" s="12">
        <v>14.8</v>
      </c>
      <c r="F13" s="5">
        <v>700</v>
      </c>
      <c r="G13" s="8">
        <v>1651</v>
      </c>
      <c r="H13" s="6" t="s">
        <v>6</v>
      </c>
      <c r="I13" s="17">
        <v>0.19097222222222221</v>
      </c>
      <c r="J13" s="12">
        <v>420</v>
      </c>
      <c r="K13" s="149">
        <v>2007</v>
      </c>
      <c r="L13" s="151" t="s">
        <v>288</v>
      </c>
      <c r="M13" s="7" t="s">
        <v>20</v>
      </c>
      <c r="N13" s="7" t="s">
        <v>43</v>
      </c>
    </row>
    <row r="14" spans="1:14" x14ac:dyDescent="0.2">
      <c r="A14" s="1" t="s">
        <v>83</v>
      </c>
      <c r="B14" s="2">
        <v>0.17416666666666666</v>
      </c>
      <c r="C14" s="14">
        <v>62</v>
      </c>
      <c r="D14" s="13">
        <v>1650</v>
      </c>
      <c r="E14" s="12">
        <v>14.83</v>
      </c>
      <c r="F14" s="5">
        <v>220</v>
      </c>
      <c r="G14" s="13">
        <v>567</v>
      </c>
      <c r="H14" s="6" t="s">
        <v>6</v>
      </c>
      <c r="I14" s="17">
        <v>4.5138888888888888E-2</v>
      </c>
      <c r="J14" s="12">
        <v>70</v>
      </c>
      <c r="K14" s="149">
        <v>2007</v>
      </c>
      <c r="L14" s="151" t="s">
        <v>288</v>
      </c>
      <c r="M14" s="7" t="s">
        <v>20</v>
      </c>
      <c r="N14" s="7"/>
    </row>
    <row r="15" spans="1:14" x14ac:dyDescent="0.2">
      <c r="A15" s="1" t="s">
        <v>84</v>
      </c>
      <c r="B15" s="2">
        <v>0.16883101851851853</v>
      </c>
      <c r="C15" s="14">
        <v>62</v>
      </c>
      <c r="D15" s="13">
        <v>1650</v>
      </c>
      <c r="E15" s="9">
        <v>15.3</v>
      </c>
      <c r="F15" s="5">
        <v>220</v>
      </c>
      <c r="G15" s="13">
        <v>567</v>
      </c>
      <c r="H15" s="6" t="s">
        <v>6</v>
      </c>
      <c r="I15" s="17">
        <v>4.8611111111111112E-2</v>
      </c>
      <c r="J15" s="12">
        <v>70</v>
      </c>
      <c r="K15" s="149">
        <v>2006</v>
      </c>
      <c r="L15" s="151" t="s">
        <v>288</v>
      </c>
      <c r="M15" s="7" t="s">
        <v>20</v>
      </c>
      <c r="N15" s="7" t="s">
        <v>43</v>
      </c>
    </row>
    <row r="16" spans="1:14" x14ac:dyDescent="0.2">
      <c r="A16" s="1" t="s">
        <v>293</v>
      </c>
      <c r="B16" s="2">
        <v>8.4942129629629617E-2</v>
      </c>
      <c r="C16" s="14">
        <v>54</v>
      </c>
      <c r="D16" s="8">
        <v>590</v>
      </c>
      <c r="E16" s="12">
        <v>26.5</v>
      </c>
      <c r="F16" s="5">
        <v>120</v>
      </c>
      <c r="G16" s="13">
        <v>301</v>
      </c>
      <c r="H16" s="6" t="s">
        <v>5</v>
      </c>
      <c r="I16" s="2">
        <v>1.7361111111111112E-2</v>
      </c>
      <c r="J16" s="12">
        <v>28</v>
      </c>
      <c r="K16" s="5">
        <v>2009</v>
      </c>
      <c r="L16" s="12" t="s">
        <v>294</v>
      </c>
      <c r="M16" s="7" t="s">
        <v>20</v>
      </c>
      <c r="N16" s="7" t="s">
        <v>43</v>
      </c>
    </row>
    <row r="17" spans="1:13" x14ac:dyDescent="0.2">
      <c r="A17" s="1" t="s">
        <v>85</v>
      </c>
      <c r="B17" s="2">
        <v>0.10415509259259259</v>
      </c>
      <c r="C17" s="3">
        <v>45</v>
      </c>
      <c r="D17" s="13">
        <v>1045</v>
      </c>
      <c r="E17" s="9">
        <v>18</v>
      </c>
      <c r="F17" s="5">
        <v>275</v>
      </c>
      <c r="G17" s="8">
        <v>764</v>
      </c>
      <c r="H17" s="6" t="s">
        <v>6</v>
      </c>
      <c r="I17" s="2">
        <v>5.5555555555555552E-2</v>
      </c>
      <c r="J17" s="12">
        <v>109</v>
      </c>
      <c r="K17" s="5">
        <v>2007</v>
      </c>
      <c r="L17" s="150" t="s">
        <v>288</v>
      </c>
      <c r="M17" s="7" t="s">
        <v>20</v>
      </c>
    </row>
    <row r="18" spans="1:13" x14ac:dyDescent="0.2">
      <c r="A18" s="1" t="s">
        <v>372</v>
      </c>
      <c r="B18" s="2">
        <v>9.375E-2</v>
      </c>
      <c r="C18" s="3">
        <v>34</v>
      </c>
      <c r="D18" s="13">
        <v>750</v>
      </c>
      <c r="E18" s="12">
        <v>15.1</v>
      </c>
      <c r="F18" s="5">
        <v>120</v>
      </c>
      <c r="G18" s="8">
        <v>358</v>
      </c>
      <c r="H18" s="16" t="s">
        <v>6</v>
      </c>
      <c r="I18" s="2">
        <v>1.8055555555555557E-2</v>
      </c>
      <c r="J18" s="12">
        <v>27.3</v>
      </c>
      <c r="K18" s="5">
        <v>2010</v>
      </c>
      <c r="L18" s="12" t="s">
        <v>373</v>
      </c>
      <c r="M18" s="74" t="s">
        <v>20</v>
      </c>
    </row>
    <row r="19" spans="1:13" x14ac:dyDescent="0.2">
      <c r="A19" s="1" t="s">
        <v>209</v>
      </c>
      <c r="B19" s="2">
        <v>2.7071759259259257E-2</v>
      </c>
      <c r="C19" s="14">
        <v>20.34</v>
      </c>
      <c r="D19" s="8">
        <v>80</v>
      </c>
      <c r="E19" s="12">
        <v>31.3</v>
      </c>
      <c r="F19" s="5">
        <v>130</v>
      </c>
      <c r="G19" s="84">
        <v>160</v>
      </c>
      <c r="H19" s="6" t="s">
        <v>5</v>
      </c>
      <c r="I19" s="2">
        <v>0</v>
      </c>
      <c r="J19" s="12">
        <v>0</v>
      </c>
      <c r="K19" s="5">
        <v>2008</v>
      </c>
      <c r="L19" s="150" t="s">
        <v>289</v>
      </c>
      <c r="M19" s="7" t="s">
        <v>20</v>
      </c>
    </row>
    <row r="20" spans="1:13" x14ac:dyDescent="0.2">
      <c r="A20" s="1"/>
      <c r="C20" s="14"/>
      <c r="D20" s="13"/>
      <c r="E20" s="9"/>
      <c r="G20" s="8"/>
      <c r="H20" s="6"/>
    </row>
    <row r="21" spans="1:13" x14ac:dyDescent="0.2">
      <c r="A21" s="1"/>
      <c r="C21" s="3"/>
      <c r="D21" s="13"/>
      <c r="G21" s="8"/>
      <c r="H21" s="16"/>
    </row>
    <row r="22" spans="1:13" x14ac:dyDescent="0.2">
      <c r="A22" s="1"/>
      <c r="D22" s="13"/>
      <c r="E22" s="4"/>
      <c r="G22" s="8"/>
      <c r="H22" s="6"/>
    </row>
    <row r="23" spans="1:13" x14ac:dyDescent="0.2">
      <c r="A23" s="1"/>
      <c r="C23" s="3"/>
      <c r="D23" s="8"/>
      <c r="G23" s="13"/>
      <c r="H23" s="6"/>
    </row>
    <row r="24" spans="1:13" x14ac:dyDescent="0.2">
      <c r="A24" s="1"/>
      <c r="C24" s="3"/>
      <c r="D24" s="13"/>
      <c r="E24" s="4"/>
      <c r="G24" s="8"/>
      <c r="H24" s="6"/>
    </row>
    <row r="25" spans="1:13" x14ac:dyDescent="0.2">
      <c r="A25" s="1"/>
      <c r="D25" s="8"/>
      <c r="G25" s="8"/>
      <c r="H25" s="6"/>
    </row>
    <row r="26" spans="1:13" x14ac:dyDescent="0.2">
      <c r="A26" s="1"/>
      <c r="C26" s="3"/>
      <c r="D26" s="13"/>
      <c r="E26" s="4"/>
      <c r="G26" s="8"/>
      <c r="H26" s="6"/>
    </row>
    <row r="27" spans="1:13" x14ac:dyDescent="0.2">
      <c r="A27" s="1"/>
      <c r="C27" s="3"/>
      <c r="D27" s="8"/>
      <c r="G27" s="8"/>
      <c r="H27" s="6"/>
    </row>
    <row r="28" spans="1:13" x14ac:dyDescent="0.2">
      <c r="A28" s="1"/>
      <c r="C28" s="3"/>
      <c r="D28" s="13"/>
      <c r="E28" s="4"/>
      <c r="G28" s="13"/>
      <c r="H28" s="6"/>
    </row>
    <row r="29" spans="1:13" x14ac:dyDescent="0.2">
      <c r="A29" s="1"/>
      <c r="D29" s="13"/>
      <c r="E29" s="9"/>
      <c r="G29" s="13"/>
      <c r="H29" s="6"/>
    </row>
    <row r="30" spans="1:13" x14ac:dyDescent="0.2">
      <c r="A30" s="1"/>
      <c r="C30" s="3"/>
      <c r="D30" s="13"/>
      <c r="E30" s="9"/>
      <c r="G30" s="13"/>
      <c r="H30" s="6"/>
    </row>
    <row r="31" spans="1:13" x14ac:dyDescent="0.2">
      <c r="A31" s="1"/>
      <c r="C31" s="3"/>
      <c r="D31" s="13"/>
      <c r="E31" s="9"/>
      <c r="G31" s="13"/>
      <c r="H31" s="6"/>
    </row>
    <row r="32" spans="1:13" x14ac:dyDescent="0.2">
      <c r="A32" s="1"/>
      <c r="C32" s="3"/>
      <c r="D32" s="13"/>
      <c r="E32" s="4"/>
      <c r="G32" s="13"/>
      <c r="H32" s="85"/>
    </row>
    <row r="33" spans="1:8" x14ac:dyDescent="0.2">
      <c r="A33" s="1"/>
      <c r="D33" s="13"/>
      <c r="E33" s="4"/>
      <c r="G33" s="13"/>
      <c r="H33" s="6"/>
    </row>
    <row r="34" spans="1:8" x14ac:dyDescent="0.2">
      <c r="A34" s="1"/>
      <c r="G34" s="13"/>
      <c r="H34" s="6"/>
    </row>
    <row r="35" spans="1:8" x14ac:dyDescent="0.2">
      <c r="A35" s="1"/>
      <c r="G35" s="13"/>
      <c r="H35" s="6"/>
    </row>
    <row r="36" spans="1:8" x14ac:dyDescent="0.2">
      <c r="A36" s="1"/>
      <c r="G36" s="13"/>
      <c r="H36" s="6"/>
    </row>
    <row r="37" spans="1:8" x14ac:dyDescent="0.2">
      <c r="A37" s="1"/>
      <c r="G37" s="13"/>
      <c r="H37" s="6"/>
    </row>
    <row r="38" spans="1:8" x14ac:dyDescent="0.2">
      <c r="A38" s="1"/>
      <c r="G38" s="13"/>
      <c r="H38" s="6"/>
    </row>
    <row r="39" spans="1:8" x14ac:dyDescent="0.2">
      <c r="A39" s="1"/>
      <c r="E39" s="4"/>
      <c r="G39" s="13"/>
      <c r="H39" s="6"/>
    </row>
    <row r="40" spans="1:8" x14ac:dyDescent="0.2">
      <c r="G40" s="13"/>
    </row>
    <row r="41" spans="1:8" x14ac:dyDescent="0.2">
      <c r="G41" s="13"/>
    </row>
    <row r="42" spans="1:8" x14ac:dyDescent="0.2">
      <c r="E42" s="4"/>
      <c r="G42" s="13"/>
    </row>
    <row r="43" spans="1:8" x14ac:dyDescent="0.2">
      <c r="G43" s="13"/>
    </row>
  </sheetData>
  <sortState ref="A2:P19">
    <sortCondition descending="1" ref="C1"/>
  </sortState>
  <phoneticPr fontId="9" type="noConversion"/>
  <conditionalFormatting sqref="I1:I1048576">
    <cfRule type="cellIs" dxfId="1316" priority="82" operator="equal">
      <formula>0</formula>
    </cfRule>
    <cfRule type="cellIs" dxfId="1315" priority="284" stopIfTrue="1" operator="between">
      <formula>0.0000115740740740741</formula>
      <formula>0.0416550925925926</formula>
    </cfRule>
    <cfRule type="cellIs" dxfId="1314" priority="285" stopIfTrue="1" operator="between">
      <formula>0.0416666666666667</formula>
      <formula>0.0833217592592593</formula>
    </cfRule>
    <cfRule type="cellIs" dxfId="1313" priority="286" stopIfTrue="1" operator="between">
      <formula>0.0833333333333333</formula>
      <formula>4.16665509259259</formula>
    </cfRule>
  </conditionalFormatting>
  <conditionalFormatting sqref="E1:E1048576">
    <cfRule type="cellIs" dxfId="1312" priority="72" stopIfTrue="1" operator="between">
      <formula>0</formula>
      <formula>19.99</formula>
    </cfRule>
    <cfRule type="cellIs" dxfId="1311" priority="73" stopIfTrue="1" operator="between">
      <formula>20</formula>
      <formula>24.99</formula>
    </cfRule>
    <cfRule type="cellIs" dxfId="1310" priority="74" stopIfTrue="1" operator="between">
      <formula>25</formula>
      <formula>99.99</formula>
    </cfRule>
  </conditionalFormatting>
  <conditionalFormatting sqref="L1:L1048576">
    <cfRule type="cellIs" dxfId="1309" priority="57" stopIfTrue="1" operator="equal">
      <formula>"CTF"</formula>
    </cfRule>
    <cfRule type="cellIs" dxfId="1308" priority="63" stopIfTrue="1" operator="equal">
      <formula>"E"</formula>
    </cfRule>
    <cfRule type="cellIs" dxfId="1307" priority="64" stopIfTrue="1" operator="equal">
      <formula>"RTF"</formula>
    </cfRule>
    <cfRule type="cellIs" dxfId="1306" priority="65" stopIfTrue="1" operator="equal">
      <formula>"Tri"</formula>
    </cfRule>
    <cfRule type="cellIs" dxfId="1305" priority="66" stopIfTrue="1" operator="equal">
      <formula>"Race"</formula>
    </cfRule>
    <cfRule type="cellIs" dxfId="1304" priority="67" stopIfTrue="1" operator="equal">
      <formula>"M"</formula>
    </cfRule>
  </conditionalFormatting>
  <conditionalFormatting sqref="K1:K1048576">
    <cfRule type="cellIs" dxfId="1303" priority="21" operator="greaterThanOrEqual">
      <formula>2010</formula>
    </cfRule>
    <cfRule type="cellIs" dxfId="1302" priority="22" stopIfTrue="1" operator="equal">
      <formula>2013</formula>
    </cfRule>
    <cfRule type="cellIs" dxfId="1301" priority="28" stopIfTrue="1" operator="equal">
      <formula>2006</formula>
    </cfRule>
    <cfRule type="cellIs" dxfId="1300" priority="58" stopIfTrue="1" operator="equal">
      <formula>2007</formula>
    </cfRule>
    <cfRule type="cellIs" dxfId="1299" priority="59" stopIfTrue="1" operator="equal">
      <formula>2008</formula>
    </cfRule>
    <cfRule type="cellIs" dxfId="1298" priority="60" stopIfTrue="1" operator="equal">
      <formula>2009</formula>
    </cfRule>
    <cfRule type="cellIs" dxfId="1297" priority="61" stopIfTrue="1" operator="equal">
      <formula>2010</formula>
    </cfRule>
    <cfRule type="cellIs" dxfId="1296" priority="62" stopIfTrue="1" operator="equal">
      <formula>2011</formula>
    </cfRule>
  </conditionalFormatting>
  <conditionalFormatting sqref="J1:J1048576">
    <cfRule type="cellIs" dxfId="1295" priority="53" operator="equal">
      <formula>0</formula>
    </cfRule>
    <cfRule type="cellIs" dxfId="1294" priority="54" stopIfTrue="1" operator="between">
      <formula>0.1</formula>
      <formula>99.9</formula>
    </cfRule>
    <cfRule type="cellIs" dxfId="1293" priority="55" stopIfTrue="1" operator="between">
      <formula>100</formula>
      <formula>199.9</formula>
    </cfRule>
    <cfRule type="cellIs" dxfId="1292" priority="56" stopIfTrue="1" operator="between">
      <formula>200</formula>
      <formula>9999</formula>
    </cfRule>
  </conditionalFormatting>
  <conditionalFormatting sqref="G1:G1048576">
    <cfRule type="cellIs" dxfId="1291" priority="42" stopIfTrue="1" operator="between">
      <formula>0</formula>
      <formula>499.99</formula>
    </cfRule>
    <cfRule type="cellIs" dxfId="1290" priority="43" stopIfTrue="1" operator="between">
      <formula>500</formula>
      <formula>999.99</formula>
    </cfRule>
    <cfRule type="cellIs" dxfId="1289" priority="44" stopIfTrue="1" operator="between">
      <formula>1000</formula>
      <formula>9999.99</formula>
    </cfRule>
  </conditionalFormatting>
  <conditionalFormatting sqref="A1:A1048576">
    <cfRule type="expression" dxfId="1288" priority="39">
      <formula>H1="RR"</formula>
    </cfRule>
    <cfRule type="expression" dxfId="1287" priority="40">
      <formula>H1="FB"</formula>
    </cfRule>
    <cfRule type="expression" dxfId="1286" priority="41">
      <formula>H1="MTB"</formula>
    </cfRule>
  </conditionalFormatting>
  <conditionalFormatting sqref="H1:H1048576">
    <cfRule type="cellIs" dxfId="1285" priority="36" operator="equal">
      <formula>"FB"</formula>
    </cfRule>
    <cfRule type="cellIs" dxfId="1284" priority="37" stopIfTrue="1" operator="equal">
      <formula>"RR"</formula>
    </cfRule>
    <cfRule type="cellIs" dxfId="1283" priority="38" stopIfTrue="1" operator="equal">
      <formula>"MTB"</formula>
    </cfRule>
  </conditionalFormatting>
  <conditionalFormatting sqref="B1:B1048576">
    <cfRule type="cellIs" dxfId="1282" priority="23" stopIfTrue="1" operator="between">
      <formula>0</formula>
      <formula>0.041666665</formula>
    </cfRule>
    <cfRule type="cellIs" dxfId="1281" priority="24" stopIfTrue="1" operator="between">
      <formula>0.0416666666666667</formula>
      <formula>0.124999884259259</formula>
    </cfRule>
    <cfRule type="cellIs" dxfId="1280" priority="25" stopIfTrue="1" operator="between">
      <formula>0.125</formula>
      <formula>0.166666550925926</formula>
    </cfRule>
    <cfRule type="cellIs" dxfId="1279" priority="26" stopIfTrue="1" operator="between">
      <formula>0.0833333333333333</formula>
      <formula>0.208333217592593</formula>
    </cfRule>
    <cfRule type="cellIs" dxfId="1278" priority="27" stopIfTrue="1" operator="between">
      <formula>0.208333333333333</formula>
      <formula>4.16666655092593</formula>
    </cfRule>
  </conditionalFormatting>
  <conditionalFormatting sqref="K1">
    <cfRule type="cellIs" priority="20" stopIfTrue="1" operator="equal">
      <formula>"Jahr"</formula>
    </cfRule>
  </conditionalFormatting>
  <conditionalFormatting sqref="F1:F1048576">
    <cfRule type="cellIs" dxfId="1277" priority="17" stopIfTrue="1" operator="between">
      <formula>0</formula>
      <formula>199.99</formula>
    </cfRule>
    <cfRule type="cellIs" dxfId="1276" priority="18" stopIfTrue="1" operator="between">
      <formula>200</formula>
      <formula>399.99</formula>
    </cfRule>
    <cfRule type="cellIs" dxfId="1275" priority="19" stopIfTrue="1" operator="between">
      <formula>400</formula>
      <formula>9999.99</formula>
    </cfRule>
  </conditionalFormatting>
  <conditionalFormatting sqref="C1:C1048576">
    <cfRule type="cellIs" dxfId="1274" priority="7" stopIfTrue="1" operator="between">
      <formula>0</formula>
      <formula>19.99</formula>
    </cfRule>
    <cfRule type="cellIs" dxfId="1273" priority="8" stopIfTrue="1" operator="between">
      <formula>20</formula>
      <formula>49.99</formula>
    </cfRule>
    <cfRule type="cellIs" dxfId="1272" priority="9" stopIfTrue="1" operator="between">
      <formula>50</formula>
      <formula>99.9999</formula>
    </cfRule>
    <cfRule type="cellIs" dxfId="1271" priority="10" stopIfTrue="1" operator="between">
      <formula>100</formula>
      <formula>9999</formula>
    </cfRule>
  </conditionalFormatting>
  <conditionalFormatting sqref="D1:D1048576">
    <cfRule type="cellIs" dxfId="1270" priority="1" stopIfTrue="1" operator="between">
      <formula>0</formula>
      <formula>99.99</formula>
    </cfRule>
    <cfRule type="cellIs" dxfId="1269" priority="2" stopIfTrue="1" operator="between">
      <formula>100</formula>
      <formula>499.99</formula>
    </cfRule>
    <cfRule type="cellIs" dxfId="1268" priority="3" stopIfTrue="1" operator="between">
      <formula>500</formula>
      <formula>999.99</formula>
    </cfRule>
    <cfRule type="cellIs" dxfId="1267" priority="4" stopIfTrue="1" operator="between">
      <formula>1000</formula>
      <formula>1499.99</formula>
    </cfRule>
    <cfRule type="cellIs" dxfId="1266" priority="5" stopIfTrue="1" operator="between">
      <formula>1500</formula>
      <formula>1999.99</formula>
    </cfRule>
  </conditionalFormatting>
  <conditionalFormatting sqref="D1:D1048576">
    <cfRule type="cellIs" dxfId="1265" priority="6" stopIfTrue="1" operator="between">
      <formula>2000</formula>
      <formula>9999.99</formula>
    </cfRule>
  </conditionalFormatting>
  <hyperlinks>
    <hyperlink ref="N15" r:id="rId1"/>
    <hyperlink ref="M9" r:id="rId2"/>
    <hyperlink ref="M15" r:id="rId3"/>
    <hyperlink ref="M10" r:id="rId4"/>
    <hyperlink ref="M17" r:id="rId5"/>
    <hyperlink ref="M13" r:id="rId6"/>
    <hyperlink ref="N13" r:id="rId7"/>
    <hyperlink ref="M14" r:id="rId8"/>
    <hyperlink ref="M8" r:id="rId9"/>
    <hyperlink ref="M2" r:id="rId10"/>
    <hyperlink ref="N2" r:id="rId11"/>
    <hyperlink ref="M6" r:id="rId12"/>
    <hyperlink ref="M7" r:id="rId13"/>
    <hyperlink ref="M19" r:id="rId14"/>
    <hyperlink ref="M12" r:id="rId15"/>
    <hyperlink ref="M4" r:id="rId16"/>
    <hyperlink ref="M5" r:id="rId17"/>
    <hyperlink ref="N16" r:id="rId18"/>
    <hyperlink ref="M16" r:id="rId19"/>
    <hyperlink ref="M18" r:id="rId20"/>
    <hyperlink ref="M3" r:id="rId21"/>
    <hyperlink ref="M11" r:id="rId22"/>
  </hyperlinks>
  <pageMargins left="0.78740157499999996" right="0.78740157499999996" top="0.984251969" bottom="0.984251969" header="0.4921259845" footer="0.4921259845"/>
  <pageSetup paperSize="9" orientation="portrait" horizontalDpi="4294967293" r:id="rId23"/>
  <headerFooter alignWithMargins="0"/>
  <legacyDrawing r:id="rId2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B10"/>
  <sheetViews>
    <sheetView topLeftCell="E1" workbookViewId="0">
      <selection activeCell="C1" sqref="C1"/>
    </sheetView>
  </sheetViews>
  <sheetFormatPr baseColWidth="10" defaultColWidth="11.42578125" defaultRowHeight="12.75" x14ac:dyDescent="0.2"/>
  <cols>
    <col min="1" max="1" width="11.42578125" style="81"/>
    <col min="2" max="2" width="12.85546875" style="81" bestFit="1" customWidth="1"/>
    <col min="3" max="16384" width="11.42578125" style="82"/>
  </cols>
  <sheetData>
    <row r="1" spans="1:2" x14ac:dyDescent="0.2">
      <c r="A1" s="81" t="s">
        <v>87</v>
      </c>
      <c r="B1" s="81" t="s">
        <v>154</v>
      </c>
    </row>
    <row r="2" spans="1:2" x14ac:dyDescent="0.2">
      <c r="A2" s="81" t="s">
        <v>93</v>
      </c>
      <c r="B2" s="81">
        <f>COUNTIF(Auswärts!K:K,"Spessart")</f>
        <v>7</v>
      </c>
    </row>
    <row r="3" spans="1:2" x14ac:dyDescent="0.2">
      <c r="A3" s="81" t="s">
        <v>90</v>
      </c>
      <c r="B3" s="81">
        <f>COUNTIF(Auswärts!K:K,"Taunus")</f>
        <v>5</v>
      </c>
    </row>
    <row r="4" spans="1:2" x14ac:dyDescent="0.2">
      <c r="A4" s="81" t="s">
        <v>91</v>
      </c>
      <c r="B4" s="81">
        <f>COUNTIF(Auswärts!K:K,"Vogelsberg")</f>
        <v>4</v>
      </c>
    </row>
    <row r="5" spans="1:2" x14ac:dyDescent="0.2">
      <c r="A5" s="81" t="s">
        <v>92</v>
      </c>
      <c r="B5" s="81">
        <f>COUNTIF(Auswärts!K:K,"Odenwald")</f>
        <v>3</v>
      </c>
    </row>
    <row r="6" spans="1:2" x14ac:dyDescent="0.2">
      <c r="A6" s="81" t="s">
        <v>89</v>
      </c>
      <c r="B6" s="81">
        <f>COUNTIF(Auswärts!K:K,"Rhön")</f>
        <v>3</v>
      </c>
    </row>
    <row r="7" spans="1:2" x14ac:dyDescent="0.2">
      <c r="A7" s="81" t="s">
        <v>88</v>
      </c>
      <c r="B7" s="81">
        <f>COUNTIF(Auswärts!K:K,"Schwarzwald")</f>
        <v>1</v>
      </c>
    </row>
    <row r="8" spans="1:2" x14ac:dyDescent="0.2">
      <c r="A8" s="81" t="s">
        <v>419</v>
      </c>
      <c r="B8" s="81">
        <f>COUNTIF(Auswärts!K:K,"Alpen")</f>
        <v>1</v>
      </c>
    </row>
    <row r="9" spans="1:2" x14ac:dyDescent="0.2">
      <c r="A9" s="81" t="s">
        <v>331</v>
      </c>
      <c r="B9" s="81">
        <f>COUNTIF(Auswärts!K:K,"Schwäbische Alb")</f>
        <v>1</v>
      </c>
    </row>
    <row r="10" spans="1:2" x14ac:dyDescent="0.2">
      <c r="A10" s="81" t="s">
        <v>332</v>
      </c>
      <c r="B10" s="81">
        <v>1</v>
      </c>
    </row>
  </sheetData>
  <sortState ref="A2:B9">
    <sortCondition descending="1" ref="B2:B9"/>
  </sortState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0.39997558519241921"/>
  </sheetPr>
  <dimension ref="A1:P4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" sqref="G1"/>
    </sheetView>
  </sheetViews>
  <sheetFormatPr baseColWidth="10" defaultColWidth="11.42578125" defaultRowHeight="12.75" x14ac:dyDescent="0.2"/>
  <cols>
    <col min="1" max="1" width="39.85546875" style="1" bestFit="1" customWidth="1"/>
    <col min="2" max="2" width="9.28515625" style="2" customWidth="1"/>
    <col min="3" max="3" width="9" customWidth="1"/>
    <col min="4" max="4" width="8" customWidth="1"/>
    <col min="5" max="5" width="9.42578125" style="12" customWidth="1"/>
    <col min="6" max="6" width="9.7109375" style="5" bestFit="1" customWidth="1"/>
    <col min="7" max="7" width="10.28515625" bestFit="1" customWidth="1"/>
    <col min="8" max="8" width="5.85546875" customWidth="1"/>
    <col min="9" max="9" width="9.28515625" style="2" customWidth="1"/>
    <col min="10" max="10" width="6.85546875" style="5" customWidth="1"/>
    <col min="11" max="11" width="15.28515625" style="227" bestFit="1" customWidth="1"/>
    <col min="12" max="15" width="2.28515625" style="5" bestFit="1" customWidth="1"/>
    <col min="16" max="16" width="4.5703125" style="11" bestFit="1" customWidth="1"/>
  </cols>
  <sheetData>
    <row r="1" spans="1:16" s="41" customFormat="1" x14ac:dyDescent="0.2">
      <c r="A1" s="197"/>
      <c r="B1" s="75" t="s">
        <v>0</v>
      </c>
      <c r="C1" s="76" t="s">
        <v>243</v>
      </c>
      <c r="D1" s="76" t="s">
        <v>2</v>
      </c>
      <c r="E1" s="77" t="s">
        <v>242</v>
      </c>
      <c r="F1" s="78" t="s">
        <v>24</v>
      </c>
      <c r="G1" s="368" t="s">
        <v>1</v>
      </c>
      <c r="H1" s="24" t="s">
        <v>3</v>
      </c>
      <c r="I1" s="75" t="s">
        <v>4</v>
      </c>
      <c r="J1" s="47" t="s">
        <v>243</v>
      </c>
      <c r="K1" s="157" t="s">
        <v>87</v>
      </c>
      <c r="L1" s="158" t="s">
        <v>249</v>
      </c>
      <c r="M1" s="158" t="s">
        <v>250</v>
      </c>
      <c r="N1" s="158" t="s">
        <v>251</v>
      </c>
      <c r="O1" s="158" t="s">
        <v>252</v>
      </c>
      <c r="P1" s="159" t="s">
        <v>211</v>
      </c>
    </row>
    <row r="2" spans="1:16" x14ac:dyDescent="0.2">
      <c r="A2" s="1" t="s">
        <v>186</v>
      </c>
      <c r="B2" s="2">
        <v>8.3761574074074072E-2</v>
      </c>
      <c r="C2" s="3">
        <v>23.11</v>
      </c>
      <c r="D2" s="13">
        <v>855</v>
      </c>
      <c r="E2" s="12">
        <v>11.5</v>
      </c>
      <c r="F2" s="5">
        <v>720</v>
      </c>
      <c r="G2" s="13">
        <v>1575</v>
      </c>
      <c r="H2" s="6" t="s">
        <v>6</v>
      </c>
      <c r="I2" s="2">
        <v>0.16666666666666666</v>
      </c>
      <c r="J2" s="5">
        <v>375</v>
      </c>
      <c r="K2" s="227" t="s">
        <v>419</v>
      </c>
      <c r="L2" s="103">
        <v>3</v>
      </c>
      <c r="M2" s="103">
        <v>2</v>
      </c>
      <c r="N2" s="103">
        <v>3</v>
      </c>
      <c r="O2" s="103">
        <v>1</v>
      </c>
      <c r="P2" s="11">
        <f t="shared" ref="P2:P17" si="0">AVERAGE(L2:O2)</f>
        <v>2.25</v>
      </c>
    </row>
    <row r="3" spans="1:16" x14ac:dyDescent="0.2">
      <c r="A3" s="1" t="s">
        <v>61</v>
      </c>
      <c r="B3" s="2">
        <v>9.5231481481481486E-2</v>
      </c>
      <c r="C3" s="3">
        <v>42.54</v>
      </c>
      <c r="D3" s="13">
        <v>1017</v>
      </c>
      <c r="E3" s="4">
        <v>18.600000000000001</v>
      </c>
      <c r="F3" s="5">
        <v>133</v>
      </c>
      <c r="G3" s="13">
        <v>1164</v>
      </c>
      <c r="H3" s="6" t="s">
        <v>5</v>
      </c>
      <c r="I3" s="2">
        <v>0.11458333333333333</v>
      </c>
      <c r="J3" s="5">
        <v>195</v>
      </c>
      <c r="K3" s="227" t="s">
        <v>88</v>
      </c>
      <c r="L3" s="103">
        <v>3</v>
      </c>
      <c r="M3" s="103">
        <v>1</v>
      </c>
      <c r="N3" s="103">
        <v>1</v>
      </c>
      <c r="O3" s="103">
        <v>1</v>
      </c>
      <c r="P3" s="11">
        <f t="shared" si="0"/>
        <v>1.5</v>
      </c>
    </row>
    <row r="4" spans="1:16" x14ac:dyDescent="0.2">
      <c r="A4" s="1" t="s">
        <v>592</v>
      </c>
      <c r="B4" s="2">
        <v>6.2129629629629625E-2</v>
      </c>
      <c r="C4" s="14">
        <v>27.1</v>
      </c>
      <c r="D4" s="13">
        <v>410</v>
      </c>
      <c r="E4" s="12">
        <v>18.2</v>
      </c>
      <c r="F4" s="5">
        <v>575</v>
      </c>
      <c r="G4" s="8">
        <v>955</v>
      </c>
      <c r="H4" s="6" t="s">
        <v>398</v>
      </c>
      <c r="I4" s="2">
        <v>0.10416666666666667</v>
      </c>
      <c r="J4" s="5">
        <v>223</v>
      </c>
      <c r="K4" s="226" t="s">
        <v>332</v>
      </c>
      <c r="L4" s="103">
        <v>3</v>
      </c>
      <c r="M4" s="103">
        <v>2</v>
      </c>
      <c r="N4" s="103">
        <v>1</v>
      </c>
      <c r="O4" s="103">
        <v>1</v>
      </c>
      <c r="P4" s="11">
        <f t="shared" si="0"/>
        <v>1.75</v>
      </c>
    </row>
    <row r="5" spans="1:16" x14ac:dyDescent="0.2">
      <c r="A5" s="1" t="s">
        <v>41</v>
      </c>
      <c r="B5" s="2">
        <v>5.3090277777777778E-2</v>
      </c>
      <c r="C5" s="3">
        <v>26.72</v>
      </c>
      <c r="D5" s="8">
        <v>541</v>
      </c>
      <c r="E5" s="12">
        <v>20.9</v>
      </c>
      <c r="F5" s="5">
        <v>417</v>
      </c>
      <c r="G5" s="13">
        <v>950</v>
      </c>
      <c r="H5" s="6" t="s">
        <v>5</v>
      </c>
      <c r="I5" s="2">
        <v>5.5555555555555552E-2</v>
      </c>
      <c r="J5" s="5">
        <v>144</v>
      </c>
      <c r="K5" s="227" t="s">
        <v>89</v>
      </c>
      <c r="L5" s="103">
        <v>2</v>
      </c>
      <c r="M5" s="103">
        <v>2</v>
      </c>
      <c r="N5" s="103">
        <v>2</v>
      </c>
      <c r="O5" s="103">
        <v>2</v>
      </c>
      <c r="P5" s="11">
        <f t="shared" si="0"/>
        <v>2</v>
      </c>
    </row>
    <row r="6" spans="1:16" x14ac:dyDescent="0.2">
      <c r="A6" s="1" t="s">
        <v>42</v>
      </c>
      <c r="B6" s="2">
        <v>9.2349537037037036E-2</v>
      </c>
      <c r="C6" s="3">
        <v>39.11</v>
      </c>
      <c r="D6" s="13">
        <v>901</v>
      </c>
      <c r="E6" s="4">
        <v>17.600000000000001</v>
      </c>
      <c r="F6" s="5">
        <v>417</v>
      </c>
      <c r="G6" s="13">
        <v>927.8</v>
      </c>
      <c r="H6" s="16" t="s">
        <v>6</v>
      </c>
      <c r="I6" s="2">
        <v>5.5555555555555552E-2</v>
      </c>
      <c r="J6" s="5">
        <v>144</v>
      </c>
      <c r="K6" s="227" t="s">
        <v>89</v>
      </c>
      <c r="L6" s="103">
        <v>3</v>
      </c>
      <c r="M6" s="103">
        <v>3</v>
      </c>
      <c r="N6" s="103">
        <v>2</v>
      </c>
      <c r="O6" s="103">
        <v>2</v>
      </c>
      <c r="P6" s="11">
        <f t="shared" si="0"/>
        <v>2.5</v>
      </c>
    </row>
    <row r="7" spans="1:16" x14ac:dyDescent="0.2">
      <c r="A7" s="1" t="s">
        <v>62</v>
      </c>
      <c r="B7" s="2">
        <v>6.3703703703703707E-2</v>
      </c>
      <c r="C7" s="14">
        <v>24.84</v>
      </c>
      <c r="D7" s="8">
        <v>477</v>
      </c>
      <c r="E7" s="12">
        <v>16.2</v>
      </c>
      <c r="F7" s="5">
        <v>475</v>
      </c>
      <c r="G7" s="13">
        <v>926</v>
      </c>
      <c r="H7" s="6" t="s">
        <v>6</v>
      </c>
      <c r="I7" s="2">
        <v>6.25E-2</v>
      </c>
      <c r="J7" s="5">
        <v>148</v>
      </c>
      <c r="K7" s="227" t="s">
        <v>89</v>
      </c>
      <c r="L7" s="103">
        <v>3</v>
      </c>
      <c r="M7" s="103">
        <v>2</v>
      </c>
      <c r="N7" s="103">
        <v>1</v>
      </c>
      <c r="O7" s="103">
        <v>1</v>
      </c>
      <c r="P7" s="11">
        <f t="shared" si="0"/>
        <v>1.75</v>
      </c>
    </row>
    <row r="8" spans="1:16" x14ac:dyDescent="0.2">
      <c r="A8" s="1" t="s">
        <v>499</v>
      </c>
      <c r="B8" s="2">
        <v>0.11583333333333333</v>
      </c>
      <c r="C8" s="3">
        <v>56.1</v>
      </c>
      <c r="D8" s="13">
        <v>1305</v>
      </c>
      <c r="E8" s="4">
        <v>20.179856115107913</v>
      </c>
      <c r="F8" s="5">
        <v>300</v>
      </c>
      <c r="G8" s="13">
        <v>880</v>
      </c>
      <c r="H8" s="6" t="s">
        <v>5</v>
      </c>
      <c r="I8" s="2">
        <v>3.8194444444444441E-2</v>
      </c>
      <c r="J8" s="5">
        <v>91</v>
      </c>
      <c r="K8" s="227" t="s">
        <v>90</v>
      </c>
      <c r="L8" s="103">
        <v>3</v>
      </c>
      <c r="M8" s="103">
        <v>1</v>
      </c>
      <c r="N8" s="103">
        <v>2</v>
      </c>
      <c r="O8" s="103">
        <v>1</v>
      </c>
      <c r="P8" s="11">
        <f t="shared" si="0"/>
        <v>1.75</v>
      </c>
    </row>
    <row r="9" spans="1:16" x14ac:dyDescent="0.2">
      <c r="A9" s="1" t="s">
        <v>498</v>
      </c>
      <c r="B9" s="2">
        <v>6.7951388888888895E-2</v>
      </c>
      <c r="C9" s="11">
        <v>34.9</v>
      </c>
      <c r="D9" s="84">
        <v>827</v>
      </c>
      <c r="E9" s="12">
        <v>21.4</v>
      </c>
      <c r="F9" s="5">
        <v>300</v>
      </c>
      <c r="G9" s="13">
        <v>880</v>
      </c>
      <c r="H9" s="6" t="s">
        <v>5</v>
      </c>
      <c r="I9" s="2">
        <v>3.8194444444444441E-2</v>
      </c>
      <c r="J9" s="5">
        <v>91</v>
      </c>
      <c r="K9" s="227" t="s">
        <v>90</v>
      </c>
      <c r="L9" s="5">
        <v>2</v>
      </c>
      <c r="M9" s="5">
        <v>1</v>
      </c>
      <c r="N9" s="5">
        <v>2</v>
      </c>
      <c r="O9" s="5">
        <v>1</v>
      </c>
      <c r="P9" s="11">
        <f t="shared" si="0"/>
        <v>1.5</v>
      </c>
    </row>
    <row r="10" spans="1:16" x14ac:dyDescent="0.2">
      <c r="A10" s="1" t="s">
        <v>497</v>
      </c>
      <c r="B10" s="2">
        <v>9.0277777777777776E-2</v>
      </c>
      <c r="C10" s="11">
        <v>25</v>
      </c>
      <c r="D10" s="13">
        <v>755</v>
      </c>
      <c r="E10" s="9">
        <v>11.5</v>
      </c>
      <c r="F10" s="5">
        <v>310</v>
      </c>
      <c r="G10" s="13">
        <v>880</v>
      </c>
      <c r="H10" s="6" t="s">
        <v>6</v>
      </c>
      <c r="I10" s="2">
        <v>3.8194444444444441E-2</v>
      </c>
      <c r="J10" s="5">
        <v>91</v>
      </c>
      <c r="K10" s="227" t="s">
        <v>90</v>
      </c>
      <c r="L10" s="103">
        <v>3</v>
      </c>
      <c r="M10" s="103">
        <v>1</v>
      </c>
      <c r="N10" s="103">
        <v>2</v>
      </c>
      <c r="O10" s="103">
        <v>1</v>
      </c>
      <c r="P10" s="11">
        <f t="shared" si="0"/>
        <v>1.75</v>
      </c>
    </row>
    <row r="11" spans="1:16" x14ac:dyDescent="0.2">
      <c r="A11" s="1" t="s">
        <v>7</v>
      </c>
      <c r="B11" s="2">
        <v>4.8252314814814817E-2</v>
      </c>
      <c r="C11" s="14">
        <v>23.52</v>
      </c>
      <c r="D11" s="13">
        <v>580</v>
      </c>
      <c r="E11" s="4">
        <v>20.3</v>
      </c>
      <c r="F11" s="5">
        <v>300</v>
      </c>
      <c r="G11" s="8">
        <v>880</v>
      </c>
      <c r="H11" s="6" t="s">
        <v>5</v>
      </c>
      <c r="I11" s="2">
        <v>3.8194444444444441E-2</v>
      </c>
      <c r="J11" s="5">
        <v>91</v>
      </c>
      <c r="K11" s="226" t="s">
        <v>90</v>
      </c>
      <c r="L11" s="103">
        <v>1</v>
      </c>
      <c r="M11" s="103">
        <v>2</v>
      </c>
      <c r="N11" s="103">
        <v>1</v>
      </c>
      <c r="O11" s="103">
        <v>1</v>
      </c>
      <c r="P11" s="11">
        <f t="shared" si="0"/>
        <v>1.25</v>
      </c>
    </row>
    <row r="12" spans="1:16" x14ac:dyDescent="0.2">
      <c r="A12" s="1" t="s">
        <v>504</v>
      </c>
      <c r="B12" s="2">
        <v>5.2083333333333336E-2</v>
      </c>
      <c r="C12" s="14">
        <v>20.6</v>
      </c>
      <c r="D12" s="13">
        <v>509</v>
      </c>
      <c r="E12" s="12">
        <v>16.5</v>
      </c>
      <c r="F12" s="5">
        <v>330</v>
      </c>
      <c r="G12" s="13">
        <v>830</v>
      </c>
      <c r="H12" s="6" t="s">
        <v>398</v>
      </c>
      <c r="I12" s="2">
        <v>8.0555555555555561E-2</v>
      </c>
      <c r="J12" s="5">
        <v>185</v>
      </c>
      <c r="K12" s="226" t="s">
        <v>331</v>
      </c>
      <c r="L12" s="103">
        <v>3</v>
      </c>
      <c r="M12" s="103">
        <v>2</v>
      </c>
      <c r="N12" s="103">
        <v>1</v>
      </c>
      <c r="O12" s="103">
        <v>1</v>
      </c>
      <c r="P12" s="11">
        <f t="shared" si="0"/>
        <v>1.75</v>
      </c>
    </row>
    <row r="13" spans="1:16" x14ac:dyDescent="0.2">
      <c r="A13" s="1" t="s">
        <v>50</v>
      </c>
      <c r="B13" s="2">
        <v>5.2499999999999998E-2</v>
      </c>
      <c r="C13" s="3">
        <v>14.5</v>
      </c>
      <c r="D13" s="8">
        <v>501</v>
      </c>
      <c r="E13" s="9">
        <v>11.5</v>
      </c>
      <c r="F13" s="5">
        <v>300</v>
      </c>
      <c r="G13" s="13">
        <v>798</v>
      </c>
      <c r="H13" s="6" t="s">
        <v>6</v>
      </c>
      <c r="I13" s="2">
        <v>3.8194444444444441E-2</v>
      </c>
      <c r="J13" s="5">
        <v>91</v>
      </c>
      <c r="K13" s="226" t="s">
        <v>90</v>
      </c>
      <c r="L13" s="103">
        <v>2</v>
      </c>
      <c r="M13" s="103">
        <v>1</v>
      </c>
      <c r="N13" s="103">
        <v>2</v>
      </c>
      <c r="O13" s="103">
        <v>1</v>
      </c>
      <c r="P13" s="11">
        <f t="shared" si="0"/>
        <v>1.5</v>
      </c>
    </row>
    <row r="14" spans="1:16" x14ac:dyDescent="0.2">
      <c r="A14" s="1" t="s">
        <v>496</v>
      </c>
      <c r="B14" s="2">
        <v>6.6562499999999997E-2</v>
      </c>
      <c r="C14" s="83">
        <v>25.98</v>
      </c>
      <c r="D14" s="13">
        <v>545</v>
      </c>
      <c r="E14" s="12">
        <v>16.2</v>
      </c>
      <c r="F14" s="5">
        <v>250</v>
      </c>
      <c r="G14" s="13">
        <v>773</v>
      </c>
      <c r="H14" s="6" t="s">
        <v>6</v>
      </c>
      <c r="I14" s="2">
        <v>4.1666666666666664E-2</v>
      </c>
      <c r="J14" s="5">
        <v>106</v>
      </c>
      <c r="K14" s="227" t="s">
        <v>91</v>
      </c>
      <c r="L14" s="103">
        <v>2</v>
      </c>
      <c r="M14" s="103">
        <v>2</v>
      </c>
      <c r="N14" s="103">
        <v>2</v>
      </c>
      <c r="O14" s="103">
        <v>2</v>
      </c>
      <c r="P14" s="11">
        <f t="shared" si="0"/>
        <v>2</v>
      </c>
    </row>
    <row r="15" spans="1:16" x14ac:dyDescent="0.2">
      <c r="A15" s="1" t="s">
        <v>495</v>
      </c>
      <c r="B15" s="2">
        <v>5.7731481481481474E-2</v>
      </c>
      <c r="C15" s="11">
        <v>19.260000000000002</v>
      </c>
      <c r="D15" s="8">
        <v>503</v>
      </c>
      <c r="E15" s="9">
        <v>13.9</v>
      </c>
      <c r="F15" s="5">
        <v>320</v>
      </c>
      <c r="G15" s="13">
        <v>773</v>
      </c>
      <c r="H15" s="6" t="s">
        <v>6</v>
      </c>
      <c r="I15" s="2">
        <v>5.2083333333333336E-2</v>
      </c>
      <c r="J15" s="5">
        <v>109</v>
      </c>
      <c r="K15" s="227" t="s">
        <v>91</v>
      </c>
      <c r="L15" s="103">
        <v>2</v>
      </c>
      <c r="M15" s="103">
        <v>2</v>
      </c>
      <c r="N15" s="103">
        <v>2</v>
      </c>
      <c r="O15" s="103">
        <v>2</v>
      </c>
      <c r="P15" s="11">
        <f t="shared" si="0"/>
        <v>2</v>
      </c>
    </row>
    <row r="16" spans="1:16" x14ac:dyDescent="0.2">
      <c r="A16" s="1" t="s">
        <v>39</v>
      </c>
      <c r="B16" s="2">
        <v>5.4583333333333338E-2</v>
      </c>
      <c r="C16" s="3">
        <v>25.35</v>
      </c>
      <c r="D16" s="13">
        <v>509</v>
      </c>
      <c r="E16" s="9">
        <v>19.3</v>
      </c>
      <c r="F16" s="5">
        <v>250</v>
      </c>
      <c r="G16" s="13">
        <v>773</v>
      </c>
      <c r="H16" s="6" t="s">
        <v>5</v>
      </c>
      <c r="I16" s="2">
        <v>4.027777777777778E-2</v>
      </c>
      <c r="J16" s="5">
        <v>106</v>
      </c>
      <c r="K16" s="226" t="s">
        <v>91</v>
      </c>
      <c r="L16" s="103">
        <v>2</v>
      </c>
      <c r="M16" s="103">
        <v>2</v>
      </c>
      <c r="N16" s="103">
        <v>1</v>
      </c>
      <c r="O16" s="103">
        <v>1</v>
      </c>
      <c r="P16" s="11">
        <f t="shared" si="0"/>
        <v>1.5</v>
      </c>
    </row>
    <row r="17" spans="1:16" x14ac:dyDescent="0.2">
      <c r="A17" s="1" t="s">
        <v>40</v>
      </c>
      <c r="B17" s="2">
        <v>6.3726851851851854E-2</v>
      </c>
      <c r="C17" s="14">
        <v>33.69</v>
      </c>
      <c r="D17" s="13">
        <v>604</v>
      </c>
      <c r="E17" s="9">
        <v>22</v>
      </c>
      <c r="F17" s="5">
        <v>170</v>
      </c>
      <c r="G17" s="13">
        <v>764</v>
      </c>
      <c r="H17" s="16" t="s">
        <v>5</v>
      </c>
      <c r="I17" s="2">
        <v>3.6111111111111115E-2</v>
      </c>
      <c r="J17" s="5">
        <v>100</v>
      </c>
      <c r="K17" s="226" t="s">
        <v>91</v>
      </c>
      <c r="L17" s="103">
        <v>2</v>
      </c>
      <c r="M17" s="103">
        <v>2</v>
      </c>
      <c r="N17" s="103">
        <v>2</v>
      </c>
      <c r="O17" s="103">
        <v>1</v>
      </c>
      <c r="P17" s="11">
        <f t="shared" si="0"/>
        <v>1.75</v>
      </c>
    </row>
    <row r="18" spans="1:16" x14ac:dyDescent="0.2">
      <c r="A18" s="1" t="s">
        <v>370</v>
      </c>
      <c r="B18" s="2">
        <v>6.9444444444444434E-2</v>
      </c>
      <c r="C18" s="14">
        <v>19</v>
      </c>
      <c r="D18" s="13">
        <v>515</v>
      </c>
      <c r="E18" s="12">
        <v>11.4</v>
      </c>
      <c r="F18" s="5">
        <v>190</v>
      </c>
      <c r="G18" s="13">
        <v>605</v>
      </c>
      <c r="H18" s="6" t="s">
        <v>6</v>
      </c>
      <c r="I18" s="2">
        <v>3.4722222222222224E-2</v>
      </c>
      <c r="J18" s="5">
        <v>46</v>
      </c>
      <c r="K18" s="226" t="s">
        <v>92</v>
      </c>
      <c r="L18" s="103">
        <v>3</v>
      </c>
      <c r="M18" s="103">
        <v>1</v>
      </c>
      <c r="N18" s="103">
        <v>1</v>
      </c>
      <c r="O18" s="103">
        <v>2</v>
      </c>
      <c r="P18" s="11">
        <v>1.75</v>
      </c>
    </row>
    <row r="19" spans="1:16" x14ac:dyDescent="0.2">
      <c r="A19" s="1" t="s">
        <v>258</v>
      </c>
      <c r="B19" s="2">
        <v>7.2442129629629634E-2</v>
      </c>
      <c r="C19" s="14">
        <v>37.369999999999997</v>
      </c>
      <c r="D19" s="13">
        <v>634</v>
      </c>
      <c r="E19" s="4">
        <v>21.5</v>
      </c>
      <c r="F19" s="5">
        <v>160</v>
      </c>
      <c r="G19" s="13">
        <v>592</v>
      </c>
      <c r="H19" s="6" t="s">
        <v>5</v>
      </c>
      <c r="I19" s="2">
        <v>3.4722222222222224E-2</v>
      </c>
      <c r="J19" s="5">
        <v>46</v>
      </c>
      <c r="K19" s="226" t="s">
        <v>92</v>
      </c>
      <c r="L19" s="103">
        <v>2</v>
      </c>
      <c r="M19" s="103">
        <v>1</v>
      </c>
      <c r="N19" s="103">
        <v>2</v>
      </c>
      <c r="O19" s="103">
        <v>1</v>
      </c>
      <c r="P19" s="11">
        <f t="shared" ref="P19:P25" si="1">AVERAGE(L19:O19)</f>
        <v>1.5</v>
      </c>
    </row>
    <row r="20" spans="1:16" x14ac:dyDescent="0.2">
      <c r="A20" s="1" t="s">
        <v>494</v>
      </c>
      <c r="B20" s="2">
        <v>8.2939814814814813E-2</v>
      </c>
      <c r="C20" s="11">
        <v>36.08</v>
      </c>
      <c r="D20" s="5">
        <v>709</v>
      </c>
      <c r="E20" s="12">
        <v>18.100000000000001</v>
      </c>
      <c r="F20" s="5">
        <v>210</v>
      </c>
      <c r="G20" s="13">
        <v>586</v>
      </c>
      <c r="H20" s="6" t="s">
        <v>6</v>
      </c>
      <c r="I20" s="2">
        <v>1.8055555555555557E-2</v>
      </c>
      <c r="J20" s="5">
        <v>25</v>
      </c>
      <c r="K20" s="227" t="s">
        <v>93</v>
      </c>
      <c r="L20" s="103">
        <v>3</v>
      </c>
      <c r="M20" s="103">
        <v>1</v>
      </c>
      <c r="N20" s="103">
        <v>2</v>
      </c>
      <c r="O20" s="103">
        <v>2</v>
      </c>
      <c r="P20" s="11">
        <f t="shared" si="1"/>
        <v>2</v>
      </c>
    </row>
    <row r="21" spans="1:16" x14ac:dyDescent="0.2">
      <c r="A21" s="1" t="s">
        <v>493</v>
      </c>
      <c r="B21" s="2">
        <v>7.0740740740740743E-2</v>
      </c>
      <c r="C21" s="3">
        <v>37.78</v>
      </c>
      <c r="D21" s="8">
        <v>660</v>
      </c>
      <c r="E21" s="12">
        <v>22.2</v>
      </c>
      <c r="F21" s="5">
        <v>136</v>
      </c>
      <c r="G21" s="13">
        <v>586</v>
      </c>
      <c r="H21" s="6" t="s">
        <v>5</v>
      </c>
      <c r="I21" s="2">
        <v>2.0833333333333332E-2</v>
      </c>
      <c r="J21" s="5">
        <v>35</v>
      </c>
      <c r="K21" s="227" t="s">
        <v>93</v>
      </c>
      <c r="L21" s="5">
        <v>3</v>
      </c>
      <c r="M21" s="5">
        <v>1</v>
      </c>
      <c r="N21" s="5">
        <v>1</v>
      </c>
      <c r="O21" s="5">
        <v>2</v>
      </c>
      <c r="P21" s="11">
        <f t="shared" si="1"/>
        <v>1.75</v>
      </c>
    </row>
    <row r="22" spans="1:16" x14ac:dyDescent="0.2">
      <c r="A22" s="1" t="s">
        <v>492</v>
      </c>
      <c r="B22" s="2">
        <v>4.2581018518518525E-2</v>
      </c>
      <c r="C22" s="3">
        <v>21.31</v>
      </c>
      <c r="D22" s="13">
        <v>356</v>
      </c>
      <c r="E22" s="12">
        <v>20.8</v>
      </c>
      <c r="F22" s="5">
        <v>230</v>
      </c>
      <c r="G22" s="13">
        <v>586</v>
      </c>
      <c r="H22" s="6" t="s">
        <v>5</v>
      </c>
      <c r="I22" s="2">
        <v>2.0833333333333332E-2</v>
      </c>
      <c r="J22" s="5">
        <v>27</v>
      </c>
      <c r="K22" s="227" t="s">
        <v>93</v>
      </c>
      <c r="L22" s="5">
        <v>3</v>
      </c>
      <c r="M22" s="5">
        <v>1</v>
      </c>
      <c r="N22" s="5">
        <v>2</v>
      </c>
      <c r="O22" s="5">
        <v>2</v>
      </c>
      <c r="P22" s="11">
        <f t="shared" si="1"/>
        <v>2</v>
      </c>
    </row>
    <row r="23" spans="1:16" x14ac:dyDescent="0.2">
      <c r="A23" s="1" t="s">
        <v>171</v>
      </c>
      <c r="B23" s="2">
        <v>4.9594907407407407E-2</v>
      </c>
      <c r="C23" s="14">
        <v>17.95</v>
      </c>
      <c r="D23" s="13">
        <v>410</v>
      </c>
      <c r="E23" s="4">
        <v>15</v>
      </c>
      <c r="F23" s="5">
        <v>230</v>
      </c>
      <c r="G23" s="13">
        <v>572</v>
      </c>
      <c r="H23" s="6" t="s">
        <v>6</v>
      </c>
      <c r="I23" s="2">
        <v>2.0833333333333332E-2</v>
      </c>
      <c r="J23" s="5">
        <v>27</v>
      </c>
      <c r="K23" s="226" t="s">
        <v>93</v>
      </c>
      <c r="L23" s="103">
        <v>3</v>
      </c>
      <c r="M23" s="103">
        <v>2</v>
      </c>
      <c r="N23" s="103">
        <v>2</v>
      </c>
      <c r="O23" s="103">
        <v>2</v>
      </c>
      <c r="P23" s="11">
        <f t="shared" si="1"/>
        <v>2.25</v>
      </c>
    </row>
    <row r="24" spans="1:16" x14ac:dyDescent="0.2">
      <c r="A24" s="1" t="s">
        <v>490</v>
      </c>
      <c r="B24" s="2">
        <v>2.7442129629629632E-2</v>
      </c>
      <c r="C24" s="14">
        <v>10.1</v>
      </c>
      <c r="D24" s="8">
        <v>311</v>
      </c>
      <c r="E24" s="4">
        <v>15.3</v>
      </c>
      <c r="F24" s="5">
        <v>210</v>
      </c>
      <c r="G24" s="13">
        <v>521</v>
      </c>
      <c r="H24" s="6" t="s">
        <v>5</v>
      </c>
      <c r="I24" s="2">
        <v>1.8055555555555557E-2</v>
      </c>
      <c r="J24" s="5">
        <v>25</v>
      </c>
      <c r="K24" s="227" t="s">
        <v>93</v>
      </c>
      <c r="L24" s="103">
        <v>3</v>
      </c>
      <c r="M24" s="103">
        <v>1</v>
      </c>
      <c r="N24" s="103">
        <v>2</v>
      </c>
      <c r="O24" s="103">
        <v>2</v>
      </c>
      <c r="P24" s="11">
        <f t="shared" si="1"/>
        <v>2</v>
      </c>
    </row>
    <row r="25" spans="1:16" x14ac:dyDescent="0.2">
      <c r="A25" s="1" t="s">
        <v>715</v>
      </c>
      <c r="B25" s="2">
        <v>0.15277777777777776</v>
      </c>
      <c r="C25" s="14">
        <v>42</v>
      </c>
      <c r="D25" s="13">
        <v>690</v>
      </c>
      <c r="E25" s="12">
        <v>11.5</v>
      </c>
      <c r="F25" s="5">
        <v>250</v>
      </c>
      <c r="G25" s="13">
        <v>520</v>
      </c>
      <c r="H25" s="6" t="s">
        <v>6</v>
      </c>
      <c r="I25" s="2">
        <v>2.7777777777777776E-2</v>
      </c>
      <c r="J25" s="5">
        <v>39</v>
      </c>
      <c r="K25" s="226" t="s">
        <v>93</v>
      </c>
      <c r="L25" s="103">
        <v>3</v>
      </c>
      <c r="M25" s="103">
        <v>1</v>
      </c>
      <c r="N25" s="103">
        <v>3</v>
      </c>
      <c r="O25" s="103">
        <v>1</v>
      </c>
      <c r="P25" s="11">
        <f t="shared" si="1"/>
        <v>2</v>
      </c>
    </row>
    <row r="26" spans="1:16" x14ac:dyDescent="0.2">
      <c r="A26" s="1" t="s">
        <v>491</v>
      </c>
      <c r="B26" s="2">
        <v>5.7534722222222223E-2</v>
      </c>
      <c r="C26" s="14">
        <v>31.59</v>
      </c>
      <c r="D26" s="13">
        <v>505</v>
      </c>
      <c r="E26" s="12">
        <v>22.9</v>
      </c>
      <c r="F26" s="5">
        <v>210</v>
      </c>
      <c r="G26" s="13">
        <v>444</v>
      </c>
      <c r="H26" s="6" t="s">
        <v>5</v>
      </c>
      <c r="I26" s="2">
        <v>1.8055555555555557E-2</v>
      </c>
      <c r="J26" s="5">
        <v>25</v>
      </c>
      <c r="K26" s="227" t="s">
        <v>93</v>
      </c>
      <c r="L26" s="103">
        <v>3</v>
      </c>
      <c r="M26" s="103">
        <v>1</v>
      </c>
      <c r="N26" s="103">
        <v>2</v>
      </c>
      <c r="O26" s="103">
        <v>2</v>
      </c>
      <c r="P26" s="11">
        <f>AVERAGE(L26:O26)</f>
        <v>2</v>
      </c>
    </row>
    <row r="27" spans="1:16" x14ac:dyDescent="0.2">
      <c r="A27" s="1" t="s">
        <v>536</v>
      </c>
      <c r="B27" s="2">
        <v>0.10103009259259259</v>
      </c>
      <c r="C27" s="3">
        <v>52.83</v>
      </c>
      <c r="D27" s="13">
        <v>590</v>
      </c>
      <c r="E27" s="9">
        <v>21.7</v>
      </c>
      <c r="F27" s="5">
        <v>120</v>
      </c>
      <c r="G27">
        <v>301</v>
      </c>
      <c r="H27" s="6" t="s">
        <v>5</v>
      </c>
      <c r="I27" s="2">
        <v>1.3888888888888888E-2</v>
      </c>
      <c r="J27" s="5">
        <v>25</v>
      </c>
      <c r="K27" s="227" t="s">
        <v>92</v>
      </c>
      <c r="L27" s="103">
        <v>2</v>
      </c>
      <c r="M27" s="103">
        <v>1</v>
      </c>
      <c r="N27" s="103">
        <v>2</v>
      </c>
      <c r="O27" s="103">
        <v>3</v>
      </c>
      <c r="P27" s="11">
        <f>AVERAGE(L27:O27)</f>
        <v>2</v>
      </c>
    </row>
    <row r="28" spans="1:16" x14ac:dyDescent="0.2">
      <c r="C28" s="14"/>
      <c r="D28" s="13"/>
      <c r="G28" s="13"/>
      <c r="H28" s="6"/>
      <c r="K28" s="226"/>
      <c r="L28" s="103"/>
      <c r="M28" s="103"/>
      <c r="N28" s="103"/>
      <c r="O28" s="103"/>
    </row>
    <row r="29" spans="1:16" x14ac:dyDescent="0.2">
      <c r="C29" s="14"/>
      <c r="D29" s="13"/>
      <c r="E29" s="4"/>
      <c r="G29" s="13"/>
      <c r="H29" s="6"/>
      <c r="K29" s="226"/>
      <c r="L29" s="103"/>
      <c r="M29" s="103"/>
      <c r="N29" s="103"/>
      <c r="O29" s="103"/>
    </row>
    <row r="30" spans="1:16" x14ac:dyDescent="0.2">
      <c r="C30" s="14"/>
      <c r="D30" s="13"/>
      <c r="G30" s="13"/>
      <c r="H30" s="6"/>
      <c r="K30" s="226"/>
      <c r="L30" s="103"/>
      <c r="M30" s="103"/>
      <c r="N30" s="103"/>
      <c r="O30" s="103"/>
    </row>
    <row r="31" spans="1:16" x14ac:dyDescent="0.2">
      <c r="C31" s="14"/>
      <c r="D31" s="13"/>
      <c r="G31" s="13"/>
      <c r="H31" s="6"/>
      <c r="K31" s="226"/>
      <c r="L31" s="103"/>
      <c r="M31" s="103"/>
      <c r="N31" s="103"/>
      <c r="O31" s="103"/>
    </row>
    <row r="32" spans="1:16" x14ac:dyDescent="0.2">
      <c r="C32" s="14"/>
      <c r="D32" s="13"/>
      <c r="E32" s="4"/>
      <c r="G32" s="13"/>
      <c r="H32" s="85"/>
      <c r="K32" s="226"/>
      <c r="L32" s="103"/>
      <c r="M32" s="103"/>
      <c r="N32" s="103"/>
      <c r="O32" s="103"/>
    </row>
    <row r="33" spans="4:15" x14ac:dyDescent="0.2">
      <c r="D33" s="13"/>
      <c r="G33" s="13"/>
      <c r="H33" s="6"/>
    </row>
    <row r="34" spans="4:15" x14ac:dyDescent="0.2">
      <c r="D34" s="13"/>
      <c r="G34" s="13"/>
      <c r="H34" s="6"/>
      <c r="K34" s="226"/>
      <c r="L34" s="103"/>
      <c r="M34" s="103"/>
      <c r="N34" s="103"/>
      <c r="O34" s="103"/>
    </row>
    <row r="35" spans="4:15" x14ac:dyDescent="0.2">
      <c r="D35" s="13"/>
      <c r="G35" s="13"/>
      <c r="H35" s="6"/>
      <c r="L35" s="103"/>
      <c r="M35" s="103"/>
      <c r="N35" s="103"/>
      <c r="O35" s="103"/>
    </row>
    <row r="36" spans="4:15" x14ac:dyDescent="0.2">
      <c r="D36" s="13"/>
      <c r="G36" s="13"/>
      <c r="H36" s="6"/>
    </row>
    <row r="37" spans="4:15" x14ac:dyDescent="0.2">
      <c r="D37" s="13"/>
      <c r="G37" s="13"/>
      <c r="H37" s="6"/>
    </row>
    <row r="38" spans="4:15" x14ac:dyDescent="0.2">
      <c r="D38" s="13"/>
      <c r="G38" s="13"/>
      <c r="H38" s="6"/>
    </row>
    <row r="39" spans="4:15" x14ac:dyDescent="0.2">
      <c r="D39" s="13"/>
      <c r="H39" s="6"/>
    </row>
    <row r="40" spans="4:15" x14ac:dyDescent="0.2">
      <c r="D40" s="13"/>
    </row>
    <row r="41" spans="4:15" x14ac:dyDescent="0.2">
      <c r="D41" s="13"/>
      <c r="G41" s="13"/>
    </row>
    <row r="42" spans="4:15" x14ac:dyDescent="0.2">
      <c r="D42" s="13"/>
      <c r="G42" s="13"/>
    </row>
  </sheetData>
  <sortState ref="A2:S27">
    <sortCondition descending="1" ref="G1"/>
  </sortState>
  <conditionalFormatting sqref="C1:C1048576">
    <cfRule type="cellIs" dxfId="1264" priority="195" stopIfTrue="1" operator="between">
      <formula>0</formula>
      <formula>19.99</formula>
    </cfRule>
    <cfRule type="cellIs" dxfId="1263" priority="196" stopIfTrue="1" operator="between">
      <formula>20</formula>
      <formula>49.99</formula>
    </cfRule>
    <cfRule type="cellIs" dxfId="1262" priority="197" stopIfTrue="1" operator="between">
      <formula>50</formula>
      <formula>9999</formula>
    </cfRule>
  </conditionalFormatting>
  <conditionalFormatting sqref="E1:E1048576">
    <cfRule type="cellIs" dxfId="1261" priority="192" stopIfTrue="1" operator="between">
      <formula>0</formula>
      <formula>19.99</formula>
    </cfRule>
    <cfRule type="cellIs" dxfId="1260" priority="193" stopIfTrue="1" operator="between">
      <formula>20</formula>
      <formula>24.99</formula>
    </cfRule>
    <cfRule type="cellIs" dxfId="1259" priority="194" stopIfTrue="1" operator="between">
      <formula>25</formula>
      <formula>99.99</formula>
    </cfRule>
  </conditionalFormatting>
  <conditionalFormatting sqref="F1:F1048576">
    <cfRule type="cellIs" dxfId="1258" priority="189" stopIfTrue="1" operator="between">
      <formula>0</formula>
      <formula>199.99</formula>
    </cfRule>
    <cfRule type="cellIs" dxfId="1257" priority="190" stopIfTrue="1" operator="between">
      <formula>200</formula>
      <formula>399.99</formula>
    </cfRule>
    <cfRule type="cellIs" dxfId="1256" priority="191" stopIfTrue="1" operator="between">
      <formula>400</formula>
      <formula>9999.99</formula>
    </cfRule>
  </conditionalFormatting>
  <conditionalFormatting sqref="J1:J1048576">
    <cfRule type="cellIs" dxfId="1255" priority="173" operator="equal">
      <formula>0</formula>
    </cfRule>
    <cfRule type="cellIs" dxfId="1254" priority="174" stopIfTrue="1" operator="between">
      <formula>0.1</formula>
      <formula>99.9</formula>
    </cfRule>
    <cfRule type="cellIs" dxfId="1253" priority="175" stopIfTrue="1" operator="between">
      <formula>100</formula>
      <formula>199.9</formula>
    </cfRule>
    <cfRule type="cellIs" dxfId="1252" priority="176" stopIfTrue="1" operator="between">
      <formula>200</formula>
      <formula>9999</formula>
    </cfRule>
  </conditionalFormatting>
  <conditionalFormatting sqref="H1:H1048576">
    <cfRule type="cellIs" dxfId="1251" priority="152" operator="equal">
      <formula>"FB"</formula>
    </cfRule>
    <cfRule type="cellIs" dxfId="1250" priority="153" stopIfTrue="1" operator="equal">
      <formula>"RR"</formula>
    </cfRule>
    <cfRule type="cellIs" dxfId="1249" priority="154" stopIfTrue="1" operator="equal">
      <formula>"MTB"</formula>
    </cfRule>
  </conditionalFormatting>
  <conditionalFormatting sqref="D1:D1048576">
    <cfRule type="cellIs" dxfId="1248" priority="120" stopIfTrue="1" operator="between">
      <formula>0</formula>
      <formula>99.99</formula>
    </cfRule>
    <cfRule type="cellIs" dxfId="1247" priority="121" stopIfTrue="1" operator="between">
      <formula>100</formula>
      <formula>499.99</formula>
    </cfRule>
    <cfRule type="cellIs" dxfId="1246" priority="122" stopIfTrue="1" operator="between">
      <formula>500</formula>
      <formula>999.99</formula>
    </cfRule>
    <cfRule type="cellIs" dxfId="1245" priority="123" stopIfTrue="1" operator="between">
      <formula>1000</formula>
      <formula>1499.99</formula>
    </cfRule>
    <cfRule type="cellIs" dxfId="1244" priority="124" stopIfTrue="1" operator="between">
      <formula>1500</formula>
      <formula>1999.99</formula>
    </cfRule>
  </conditionalFormatting>
  <conditionalFormatting sqref="D1:D1048576">
    <cfRule type="cellIs" dxfId="1243" priority="125" stopIfTrue="1" operator="between">
      <formula>2000</formula>
      <formula>9999.99</formula>
    </cfRule>
  </conditionalFormatting>
  <conditionalFormatting sqref="L1:O1048576">
    <cfRule type="cellIs" dxfId="1242" priority="66" operator="equal">
      <formula>1</formula>
    </cfRule>
    <cfRule type="cellIs" dxfId="1241" priority="67" operator="equal">
      <formula>2</formula>
    </cfRule>
    <cfRule type="cellIs" dxfId="1240" priority="68" operator="equal">
      <formula>3</formula>
    </cfRule>
  </conditionalFormatting>
  <conditionalFormatting sqref="P1:P1048576">
    <cfRule type="cellIs" dxfId="1239" priority="63" operator="between">
      <formula>2</formula>
      <formula>99.999</formula>
    </cfRule>
    <cfRule type="cellIs" dxfId="1238" priority="64" operator="between">
      <formula>1.5</formula>
      <formula>1.999</formula>
    </cfRule>
    <cfRule type="cellIs" dxfId="1237" priority="65" operator="between">
      <formula>1</formula>
      <formula>1.499</formula>
    </cfRule>
  </conditionalFormatting>
  <conditionalFormatting sqref="K1:K1048576">
    <cfRule type="cellIs" dxfId="1236" priority="45" stopIfTrue="1" operator="equal">
      <formula>"Hunsrück"</formula>
    </cfRule>
    <cfRule type="cellIs" dxfId="1235" priority="46" stopIfTrue="1" operator="equal">
      <formula>"Fränkische Alb"</formula>
    </cfRule>
    <cfRule type="cellIs" dxfId="1234" priority="47" stopIfTrue="1" operator="equal">
      <formula>"Bayerischer Wald"</formula>
    </cfRule>
    <cfRule type="cellIs" dxfId="1233" priority="48" stopIfTrue="1" operator="equal">
      <formula>"Harz"</formula>
    </cfRule>
    <cfRule type="cellIs" dxfId="1232" priority="49" stopIfTrue="1" operator="equal">
      <formula>"Fichtelgebirge"</formula>
    </cfRule>
    <cfRule type="cellIs" dxfId="1231" priority="50" stopIfTrue="1" operator="equal">
      <formula>"Frankenwald"</formula>
    </cfRule>
    <cfRule type="cellIs" dxfId="1230" priority="51" stopIfTrue="1" operator="equal">
      <formula>"Thüringer Wald"</formula>
    </cfRule>
    <cfRule type="cellIs" dxfId="1229" priority="52" stopIfTrue="1" operator="equal">
      <formula>"Rothaargebirge"</formula>
    </cfRule>
    <cfRule type="cellIs" dxfId="1228" priority="53" stopIfTrue="1" operator="equal">
      <formula>"Schwäbische Alb"</formula>
    </cfRule>
    <cfRule type="cellIs" dxfId="1227" priority="54" stopIfTrue="1" operator="equal">
      <formula>"Alpen"</formula>
    </cfRule>
    <cfRule type="cellIs" dxfId="1226" priority="55" stopIfTrue="1" operator="equal">
      <formula>"Pfalz"</formula>
    </cfRule>
    <cfRule type="cellIs" dxfId="1225" priority="56" stopIfTrue="1" operator="equal">
      <formula>"Schwarzwald"</formula>
    </cfRule>
    <cfRule type="cellIs" dxfId="1224" priority="57" stopIfTrue="1" operator="equal">
      <formula>"Vogelsberg"</formula>
    </cfRule>
    <cfRule type="cellIs" dxfId="1223" priority="58" stopIfTrue="1" operator="equal">
      <formula>"Rhön"</formula>
    </cfRule>
    <cfRule type="cellIs" dxfId="1222" priority="59" stopIfTrue="1" operator="equal">
      <formula>"Schwarzwald"</formula>
    </cfRule>
    <cfRule type="cellIs" dxfId="1221" priority="60" stopIfTrue="1" operator="equal">
      <formula>"Taunus"</formula>
    </cfRule>
    <cfRule type="cellIs" dxfId="1220" priority="61" stopIfTrue="1" operator="equal">
      <formula>"Spessart"</formula>
    </cfRule>
    <cfRule type="cellIs" dxfId="1219" priority="62" stopIfTrue="1" operator="equal">
      <formula>"Odenwald"</formula>
    </cfRule>
  </conditionalFormatting>
  <conditionalFormatting sqref="A1:A1048576">
    <cfRule type="expression" dxfId="1218" priority="33">
      <formula>H1="RR"</formula>
    </cfRule>
    <cfRule type="expression" dxfId="1217" priority="34">
      <formula>H1="FB"</formula>
    </cfRule>
    <cfRule type="expression" dxfId="1216" priority="35">
      <formula>H1="MTB"</formula>
    </cfRule>
  </conditionalFormatting>
  <conditionalFormatting sqref="B1:B1048576">
    <cfRule type="cellIs" dxfId="1215" priority="18" stopIfTrue="1" operator="between">
      <formula>0</formula>
      <formula>0.041666665</formula>
    </cfRule>
    <cfRule type="cellIs" dxfId="1214" priority="19" stopIfTrue="1" operator="between">
      <formula>0.0416666666666667</formula>
      <formula>0.124999884259259</formula>
    </cfRule>
    <cfRule type="cellIs" dxfId="1213" priority="20" stopIfTrue="1" operator="between">
      <formula>0.125</formula>
      <formula>0.166666550925926</formula>
    </cfRule>
    <cfRule type="cellIs" dxfId="1212" priority="21" stopIfTrue="1" operator="between">
      <formula>0.0833333333333333</formula>
      <formula>0.208333217592593</formula>
    </cfRule>
    <cfRule type="cellIs" dxfId="1211" priority="22" stopIfTrue="1" operator="between">
      <formula>0.208333333333333</formula>
      <formula>4.16666655092593</formula>
    </cfRule>
  </conditionalFormatting>
  <conditionalFormatting sqref="I1:I1048576">
    <cfRule type="cellIs" dxfId="1210" priority="13" stopIfTrue="1" operator="between">
      <formula>0</formula>
      <formula>0.041666665</formula>
    </cfRule>
    <cfRule type="cellIs" dxfId="1209" priority="14" stopIfTrue="1" operator="between">
      <formula>0.0416666666666667</formula>
      <formula>0.124999884259259</formula>
    </cfRule>
    <cfRule type="cellIs" dxfId="1208" priority="15" stopIfTrue="1" operator="between">
      <formula>0.125</formula>
      <formula>0.166666550925926</formula>
    </cfRule>
    <cfRule type="cellIs" dxfId="1207" priority="16" stopIfTrue="1" operator="between">
      <formula>0.0833333333333333</formula>
      <formula>0.208333217592593</formula>
    </cfRule>
    <cfRule type="cellIs" dxfId="1206" priority="17" stopIfTrue="1" operator="between">
      <formula>0.208333333333333</formula>
      <formula>4.16666655092593</formula>
    </cfRule>
  </conditionalFormatting>
  <conditionalFormatting sqref="G1:G1048576">
    <cfRule type="cellIs" dxfId="1205" priority="1" stopIfTrue="1" operator="between">
      <formula>0</formula>
      <formula>399.99</formula>
    </cfRule>
    <cfRule type="cellIs" dxfId="1204" priority="2" stopIfTrue="1" operator="between">
      <formula>400</formula>
      <formula>449.99</formula>
    </cfRule>
    <cfRule type="cellIs" dxfId="1203" priority="3" stopIfTrue="1" operator="between">
      <formula>450</formula>
      <formula>499.99</formula>
    </cfRule>
    <cfRule type="cellIs" dxfId="1202" priority="4" stopIfTrue="1" operator="between">
      <formula>500</formula>
      <formula>549.99</formula>
    </cfRule>
    <cfRule type="cellIs" dxfId="1201" priority="5" stopIfTrue="1" operator="between">
      <formula>550</formula>
      <formula>599.99</formula>
    </cfRule>
  </conditionalFormatting>
  <conditionalFormatting sqref="G1:G1048576">
    <cfRule type="cellIs" dxfId="1200" priority="6" stopIfTrue="1" operator="between">
      <formula>600</formula>
      <formula>9999.99</formula>
    </cfRule>
  </conditionalFormatting>
  <pageMargins left="0.7" right="0.7" top="0.78740157499999996" bottom="0.78740157499999996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-0.249977111117893"/>
  </sheetPr>
  <dimension ref="A1:Y42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11.42578125" defaultRowHeight="12.75" x14ac:dyDescent="0.2"/>
  <cols>
    <col min="1" max="1" width="31.42578125" style="198" customWidth="1"/>
    <col min="2" max="2" width="13.42578125" customWidth="1"/>
    <col min="3" max="3" width="10.85546875" style="221" bestFit="1" customWidth="1"/>
    <col min="4" max="6" width="12.7109375" customWidth="1"/>
    <col min="7" max="7" width="13.42578125" customWidth="1"/>
    <col min="8" max="8" width="11" customWidth="1"/>
    <col min="9" max="9" width="13.42578125" customWidth="1"/>
    <col min="10" max="10" width="11" customWidth="1"/>
    <col min="11" max="11" width="5.140625" style="5" bestFit="1" customWidth="1"/>
    <col min="12" max="12" width="5.5703125" style="11" bestFit="1" customWidth="1"/>
    <col min="13" max="13" width="15.7109375" style="227" bestFit="1" customWidth="1"/>
    <col min="14" max="14" width="4.5703125" style="46" bestFit="1" customWidth="1"/>
    <col min="15" max="15" width="5.7109375" bestFit="1" customWidth="1"/>
    <col min="16" max="16" width="7.28515625" style="11" bestFit="1" customWidth="1"/>
    <col min="17" max="17" width="5.5703125" style="225" hidden="1" customWidth="1"/>
    <col min="18" max="18" width="6.140625" style="225" hidden="1" customWidth="1"/>
    <col min="19" max="19" width="6.85546875" style="225" hidden="1" customWidth="1"/>
    <col min="20" max="20" width="5.140625" style="225" hidden="1" customWidth="1"/>
    <col min="21" max="21" width="5" style="229" hidden="1" customWidth="1"/>
    <col min="22" max="22" width="5.7109375" style="230" hidden="1" customWidth="1"/>
  </cols>
  <sheetData>
    <row r="1" spans="1:25" s="1" customFormat="1" ht="15" x14ac:dyDescent="0.25">
      <c r="A1" s="370" t="s">
        <v>353</v>
      </c>
      <c r="B1" s="369" t="s">
        <v>326</v>
      </c>
      <c r="C1" s="220" t="s">
        <v>390</v>
      </c>
      <c r="D1" s="24" t="s">
        <v>384</v>
      </c>
      <c r="E1" s="24" t="s">
        <v>385</v>
      </c>
      <c r="F1" s="24" t="s">
        <v>328</v>
      </c>
      <c r="G1" s="24" t="s">
        <v>386</v>
      </c>
      <c r="H1" s="79" t="s">
        <v>387</v>
      </c>
      <c r="I1" s="24" t="s">
        <v>388</v>
      </c>
      <c r="J1" s="79" t="s">
        <v>389</v>
      </c>
      <c r="K1" s="222" t="s">
        <v>410</v>
      </c>
      <c r="L1" s="223" t="s">
        <v>409</v>
      </c>
      <c r="M1" s="157" t="s">
        <v>87</v>
      </c>
      <c r="N1" s="157" t="s">
        <v>416</v>
      </c>
      <c r="O1" s="1" t="s">
        <v>225</v>
      </c>
      <c r="P1" s="224" t="s">
        <v>414</v>
      </c>
      <c r="Q1" s="371" t="s">
        <v>415</v>
      </c>
      <c r="R1" s="371" t="s">
        <v>422</v>
      </c>
      <c r="S1" s="371" t="s">
        <v>412</v>
      </c>
      <c r="T1" s="371" t="s">
        <v>413</v>
      </c>
      <c r="U1" s="372" t="s">
        <v>421</v>
      </c>
      <c r="V1" s="373" t="s">
        <v>432</v>
      </c>
      <c r="X1" s="374">
        <v>80</v>
      </c>
      <c r="Y1" s="1" t="s">
        <v>242</v>
      </c>
    </row>
    <row r="2" spans="1:25" x14ac:dyDescent="0.2">
      <c r="A2" s="1" t="s">
        <v>364</v>
      </c>
      <c r="B2" s="182">
        <v>35</v>
      </c>
      <c r="C2" s="221">
        <f>(B2/$X$1)*stat!$E$22</f>
        <v>1.8229166666666664E-2</v>
      </c>
      <c r="D2" s="179">
        <v>37.799999999999997</v>
      </c>
      <c r="E2" s="179">
        <v>37.799999999999997</v>
      </c>
      <c r="F2" s="180">
        <v>136</v>
      </c>
      <c r="G2" s="181">
        <v>586</v>
      </c>
      <c r="H2" s="13">
        <f t="shared" ref="H2:H28" si="0">G2-F2</f>
        <v>450</v>
      </c>
      <c r="I2" s="181">
        <v>586</v>
      </c>
      <c r="J2" s="13">
        <f t="shared" ref="J2:J28" si="1">I2-F2</f>
        <v>450</v>
      </c>
      <c r="K2" s="181">
        <f t="shared" ref="K2:K28" si="2">J2-H2</f>
        <v>0</v>
      </c>
      <c r="L2" s="179">
        <f t="shared" ref="L2:L8" si="3">E2-D2</f>
        <v>0</v>
      </c>
      <c r="M2" s="227" t="s">
        <v>93</v>
      </c>
      <c r="N2" s="45"/>
      <c r="O2">
        <f t="shared" ref="O2:O28" si="4">RANK(P2,(P:P))</f>
        <v>4</v>
      </c>
      <c r="P2" s="11">
        <f t="shared" ref="P2:P28" si="5">AVERAGE(Q2:T2)*U2*V2</f>
        <v>22.039370117187499</v>
      </c>
      <c r="Q2" s="225">
        <f t="shared" ref="Q2:Q28" si="6">RANK(C2,(C:C))</f>
        <v>27</v>
      </c>
      <c r="R2" s="225">
        <f t="shared" ref="R2:R28" si="7">COUNTA(B:B)-RANK(E2,(E:E))</f>
        <v>19</v>
      </c>
      <c r="S2" s="225">
        <f t="shared" ref="S2:S28" si="8">COUNTA(B:B)-RANK(I2,(I:I))</f>
        <v>1</v>
      </c>
      <c r="T2" s="225">
        <f t="shared" ref="T2:T28" si="9">COUNTA(B:B)-RANK(J2,(J:J))</f>
        <v>9</v>
      </c>
      <c r="U2" s="229">
        <f t="shared" ref="U2:U28" si="10">((MAX(C:C)-C2)+1)^2</f>
        <v>1.5742407226562498</v>
      </c>
      <c r="V2" s="230">
        <v>1</v>
      </c>
    </row>
    <row r="3" spans="1:25" x14ac:dyDescent="0.2">
      <c r="A3" s="1" t="s">
        <v>358</v>
      </c>
      <c r="B3" s="182">
        <v>46</v>
      </c>
      <c r="C3" s="221">
        <f>(B3/$X$1)*stat!$E$22</f>
        <v>2.3958333333333331E-2</v>
      </c>
      <c r="D3" s="183">
        <v>37.4</v>
      </c>
      <c r="E3" s="183">
        <v>38.6</v>
      </c>
      <c r="F3" s="180">
        <v>160</v>
      </c>
      <c r="G3" s="184">
        <v>592</v>
      </c>
      <c r="H3" s="13">
        <f t="shared" si="0"/>
        <v>432</v>
      </c>
      <c r="I3" s="184">
        <v>605</v>
      </c>
      <c r="J3" s="13">
        <f t="shared" si="1"/>
        <v>445</v>
      </c>
      <c r="K3" s="184">
        <f t="shared" si="2"/>
        <v>13</v>
      </c>
      <c r="L3" s="179">
        <f t="shared" si="3"/>
        <v>1.2000000000000028</v>
      </c>
      <c r="M3" s="227" t="s">
        <v>92</v>
      </c>
      <c r="N3" s="45"/>
      <c r="O3">
        <f t="shared" si="4"/>
        <v>5</v>
      </c>
      <c r="P3" s="11">
        <f t="shared" si="5"/>
        <v>21.838556857638892</v>
      </c>
      <c r="Q3" s="225">
        <f t="shared" si="6"/>
        <v>26</v>
      </c>
      <c r="R3" s="225">
        <f t="shared" si="7"/>
        <v>21</v>
      </c>
      <c r="S3" s="225">
        <f t="shared" si="8"/>
        <v>2</v>
      </c>
      <c r="T3" s="225">
        <f t="shared" si="9"/>
        <v>7</v>
      </c>
      <c r="U3" s="229">
        <f t="shared" si="10"/>
        <v>1.559896918402778</v>
      </c>
      <c r="V3" s="230">
        <v>1</v>
      </c>
    </row>
    <row r="4" spans="1:25" x14ac:dyDescent="0.2">
      <c r="A4" s="1" t="s">
        <v>357</v>
      </c>
      <c r="B4" s="182">
        <v>91</v>
      </c>
      <c r="C4" s="221">
        <f>(B4/$X$1)*stat!$E$22</f>
        <v>4.7395833333333331E-2</v>
      </c>
      <c r="D4" s="183">
        <v>23.5</v>
      </c>
      <c r="E4" s="183">
        <v>23.5</v>
      </c>
      <c r="F4" s="180">
        <v>300</v>
      </c>
      <c r="G4" s="184">
        <v>880</v>
      </c>
      <c r="H4" s="13">
        <f t="shared" si="0"/>
        <v>580</v>
      </c>
      <c r="I4" s="184">
        <v>880</v>
      </c>
      <c r="J4" s="13">
        <f t="shared" si="1"/>
        <v>580</v>
      </c>
      <c r="K4" s="184">
        <f t="shared" si="2"/>
        <v>0</v>
      </c>
      <c r="L4" s="179">
        <f t="shared" si="3"/>
        <v>0</v>
      </c>
      <c r="M4" s="227" t="s">
        <v>90</v>
      </c>
      <c r="N4" s="45"/>
      <c r="O4">
        <f t="shared" si="4"/>
        <v>6</v>
      </c>
      <c r="P4" s="11">
        <f t="shared" si="5"/>
        <v>20.688690585666233</v>
      </c>
      <c r="Q4" s="225">
        <f t="shared" si="6"/>
        <v>25</v>
      </c>
      <c r="R4" s="225">
        <f t="shared" si="7"/>
        <v>7</v>
      </c>
      <c r="S4" s="225">
        <f t="shared" si="8"/>
        <v>12</v>
      </c>
      <c r="T4" s="225">
        <f t="shared" si="9"/>
        <v>14</v>
      </c>
      <c r="U4" s="229">
        <f t="shared" si="10"/>
        <v>1.501901312934028</v>
      </c>
      <c r="V4" s="230">
        <v>0.95</v>
      </c>
    </row>
    <row r="5" spans="1:25" x14ac:dyDescent="0.2">
      <c r="A5" s="1" t="s">
        <v>359</v>
      </c>
      <c r="B5" s="182">
        <v>98.7</v>
      </c>
      <c r="C5" s="221">
        <f>(B5/$X$1)*stat!$E$22</f>
        <v>5.1406250000000001E-2</v>
      </c>
      <c r="D5" s="183">
        <v>37.6</v>
      </c>
      <c r="E5" s="183">
        <v>37.6</v>
      </c>
      <c r="F5" s="180">
        <v>154</v>
      </c>
      <c r="G5" s="184">
        <v>764</v>
      </c>
      <c r="H5" s="8">
        <f t="shared" si="0"/>
        <v>610</v>
      </c>
      <c r="I5" s="184">
        <v>764</v>
      </c>
      <c r="J5" s="8">
        <f t="shared" si="1"/>
        <v>610</v>
      </c>
      <c r="K5" s="184">
        <f t="shared" si="2"/>
        <v>0</v>
      </c>
      <c r="L5" s="179">
        <f t="shared" si="3"/>
        <v>0</v>
      </c>
      <c r="M5" s="227" t="s">
        <v>91</v>
      </c>
      <c r="N5" s="7"/>
      <c r="O5">
        <f t="shared" si="4"/>
        <v>3</v>
      </c>
      <c r="P5" s="11">
        <f t="shared" si="5"/>
        <v>22.679733009982634</v>
      </c>
      <c r="Q5" s="225">
        <f t="shared" si="6"/>
        <v>24</v>
      </c>
      <c r="R5" s="225">
        <f t="shared" si="7"/>
        <v>18</v>
      </c>
      <c r="S5" s="225">
        <f t="shared" si="8"/>
        <v>6</v>
      </c>
      <c r="T5" s="225">
        <f t="shared" si="9"/>
        <v>16</v>
      </c>
      <c r="U5" s="229">
        <f t="shared" si="10"/>
        <v>1.4920876980251734</v>
      </c>
      <c r="V5" s="230">
        <v>0.95</v>
      </c>
    </row>
    <row r="6" spans="1:25" x14ac:dyDescent="0.2">
      <c r="A6" s="1" t="s">
        <v>356</v>
      </c>
      <c r="B6" s="182">
        <v>144</v>
      </c>
      <c r="C6" s="221">
        <f>(B6/$X$1)*stat!$E$22</f>
        <v>7.4999999999999997E-2</v>
      </c>
      <c r="D6" s="183">
        <v>26.7</v>
      </c>
      <c r="E6" s="183">
        <v>26.7</v>
      </c>
      <c r="F6" s="180">
        <v>417</v>
      </c>
      <c r="G6" s="184">
        <v>950</v>
      </c>
      <c r="H6" s="13">
        <f t="shared" si="0"/>
        <v>533</v>
      </c>
      <c r="I6" s="184">
        <v>950</v>
      </c>
      <c r="J6" s="13">
        <f t="shared" si="1"/>
        <v>533</v>
      </c>
      <c r="K6" s="184">
        <f t="shared" si="2"/>
        <v>0</v>
      </c>
      <c r="L6" s="179">
        <f t="shared" si="3"/>
        <v>0</v>
      </c>
      <c r="M6" s="227" t="s">
        <v>89</v>
      </c>
      <c r="N6" s="7"/>
      <c r="O6">
        <f t="shared" si="4"/>
        <v>7</v>
      </c>
      <c r="P6" s="11">
        <f t="shared" si="5"/>
        <v>19.767184787326382</v>
      </c>
      <c r="Q6" s="225">
        <f t="shared" si="6"/>
        <v>23</v>
      </c>
      <c r="R6" s="225">
        <f t="shared" si="7"/>
        <v>9</v>
      </c>
      <c r="S6" s="225">
        <f t="shared" si="8"/>
        <v>13</v>
      </c>
      <c r="T6" s="225">
        <f t="shared" si="9"/>
        <v>13</v>
      </c>
      <c r="U6" s="229">
        <f t="shared" si="10"/>
        <v>1.4350043402777775</v>
      </c>
      <c r="V6" s="230">
        <v>0.95</v>
      </c>
    </row>
    <row r="7" spans="1:25" x14ac:dyDescent="0.2">
      <c r="A7" s="1" t="s">
        <v>355</v>
      </c>
      <c r="B7" s="182">
        <v>151</v>
      </c>
      <c r="C7" s="221">
        <f>(B7/$X$1)*stat!$E$22</f>
        <v>7.8645833333333331E-2</v>
      </c>
      <c r="D7" s="183">
        <v>22</v>
      </c>
      <c r="E7" s="183">
        <v>22.6</v>
      </c>
      <c r="F7" s="180">
        <v>226</v>
      </c>
      <c r="G7" s="184">
        <v>670</v>
      </c>
      <c r="H7" s="13">
        <f t="shared" si="0"/>
        <v>444</v>
      </c>
      <c r="I7" s="184">
        <v>687</v>
      </c>
      <c r="J7" s="13">
        <f t="shared" si="1"/>
        <v>461</v>
      </c>
      <c r="K7" s="184">
        <f t="shared" si="2"/>
        <v>17</v>
      </c>
      <c r="L7" s="179">
        <f t="shared" si="3"/>
        <v>0.60000000000000142</v>
      </c>
      <c r="M7" s="227" t="s">
        <v>363</v>
      </c>
      <c r="N7" s="45"/>
      <c r="O7">
        <f t="shared" si="4"/>
        <v>21</v>
      </c>
      <c r="P7" s="11">
        <f t="shared" si="5"/>
        <v>14.619398939344618</v>
      </c>
      <c r="Q7" s="225">
        <f t="shared" si="6"/>
        <v>22</v>
      </c>
      <c r="R7" s="225">
        <f t="shared" si="7"/>
        <v>5</v>
      </c>
      <c r="S7" s="225">
        <f t="shared" si="8"/>
        <v>4</v>
      </c>
      <c r="T7" s="225">
        <f t="shared" si="9"/>
        <v>10</v>
      </c>
      <c r="U7" s="229">
        <f t="shared" si="10"/>
        <v>1.4262828233506946</v>
      </c>
      <c r="V7" s="230">
        <v>1</v>
      </c>
    </row>
    <row r="8" spans="1:25" x14ac:dyDescent="0.2">
      <c r="A8" s="1" t="s">
        <v>354</v>
      </c>
      <c r="B8" s="182">
        <v>188</v>
      </c>
      <c r="C8" s="221">
        <f>(B8/$X$1)*stat!$E$22</f>
        <v>9.7916666666666666E-2</v>
      </c>
      <c r="D8" s="179">
        <v>12.6</v>
      </c>
      <c r="E8" s="179">
        <v>12.6</v>
      </c>
      <c r="F8" s="180">
        <v>225</v>
      </c>
      <c r="G8" s="181">
        <v>673</v>
      </c>
      <c r="H8" s="13">
        <f t="shared" si="0"/>
        <v>448</v>
      </c>
      <c r="I8" s="181">
        <v>673</v>
      </c>
      <c r="J8" s="13">
        <f t="shared" si="1"/>
        <v>448</v>
      </c>
      <c r="K8" s="181">
        <f t="shared" si="2"/>
        <v>0</v>
      </c>
      <c r="L8" s="179">
        <f t="shared" si="3"/>
        <v>0</v>
      </c>
      <c r="M8" s="227" t="s">
        <v>363</v>
      </c>
      <c r="N8" s="45"/>
      <c r="O8">
        <f t="shared" si="4"/>
        <v>24</v>
      </c>
      <c r="P8" s="11">
        <f t="shared" si="5"/>
        <v>11.390156250000002</v>
      </c>
      <c r="Q8" s="225">
        <f t="shared" si="6"/>
        <v>20</v>
      </c>
      <c r="R8" s="225">
        <f t="shared" si="7"/>
        <v>2</v>
      </c>
      <c r="S8" s="225">
        <f t="shared" si="8"/>
        <v>3</v>
      </c>
      <c r="T8" s="225">
        <f t="shared" si="9"/>
        <v>8</v>
      </c>
      <c r="U8" s="229">
        <f t="shared" si="10"/>
        <v>1.3806250000000002</v>
      </c>
      <c r="V8" s="230">
        <v>1</v>
      </c>
    </row>
    <row r="9" spans="1:25" x14ac:dyDescent="0.2">
      <c r="A9" s="1" t="s">
        <v>331</v>
      </c>
      <c r="B9" s="138">
        <v>185</v>
      </c>
      <c r="C9" s="221">
        <f>(B9/$X$1)*stat!$E$22</f>
        <v>9.6354166666666657E-2</v>
      </c>
      <c r="D9" s="171">
        <v>20.6</v>
      </c>
      <c r="E9" s="171">
        <v>21.1</v>
      </c>
      <c r="F9" s="130">
        <v>330</v>
      </c>
      <c r="G9" s="172">
        <v>810</v>
      </c>
      <c r="H9" s="5">
        <f t="shared" si="0"/>
        <v>480</v>
      </c>
      <c r="I9" s="172">
        <v>810</v>
      </c>
      <c r="J9" s="5">
        <f t="shared" si="1"/>
        <v>480</v>
      </c>
      <c r="K9" s="172">
        <f t="shared" si="2"/>
        <v>0</v>
      </c>
      <c r="L9" s="179"/>
      <c r="M9" s="227" t="s">
        <v>331</v>
      </c>
      <c r="N9" s="45"/>
      <c r="O9">
        <f t="shared" si="4"/>
        <v>20</v>
      </c>
      <c r="P9" s="11">
        <f t="shared" si="5"/>
        <v>15.57336730957031</v>
      </c>
      <c r="Q9" s="225">
        <f t="shared" si="6"/>
        <v>21</v>
      </c>
      <c r="R9" s="225">
        <f t="shared" si="7"/>
        <v>4</v>
      </c>
      <c r="S9" s="225">
        <f t="shared" si="8"/>
        <v>8</v>
      </c>
      <c r="T9" s="225">
        <f t="shared" si="9"/>
        <v>12</v>
      </c>
      <c r="U9" s="229">
        <f t="shared" si="10"/>
        <v>1.3842993164062498</v>
      </c>
      <c r="V9" s="230">
        <v>1</v>
      </c>
    </row>
    <row r="10" spans="1:25" x14ac:dyDescent="0.2">
      <c r="A10" s="1" t="s">
        <v>408</v>
      </c>
      <c r="B10" s="182">
        <v>194</v>
      </c>
      <c r="C10" s="221">
        <f>(B10/$X$1)*stat!$E$22</f>
        <v>0.10104166666666665</v>
      </c>
      <c r="D10" s="183">
        <v>20.399999999999999</v>
      </c>
      <c r="E10" s="183">
        <v>20.399999999999999</v>
      </c>
      <c r="F10" s="180">
        <v>429</v>
      </c>
      <c r="G10" s="184">
        <v>689</v>
      </c>
      <c r="H10" s="5">
        <f t="shared" si="0"/>
        <v>260</v>
      </c>
      <c r="I10" s="184">
        <v>689</v>
      </c>
      <c r="J10" s="5">
        <f t="shared" si="1"/>
        <v>260</v>
      </c>
      <c r="K10" s="184">
        <f t="shared" si="2"/>
        <v>0</v>
      </c>
      <c r="L10" s="179">
        <f t="shared" ref="L10:L19" si="11">E10-D10</f>
        <v>0</v>
      </c>
      <c r="M10" s="227" t="s">
        <v>408</v>
      </c>
      <c r="N10" s="45"/>
      <c r="O10">
        <f t="shared" si="4"/>
        <v>27</v>
      </c>
      <c r="P10" s="11">
        <f t="shared" si="5"/>
        <v>9.13238525390625</v>
      </c>
      <c r="Q10" s="225">
        <f t="shared" si="6"/>
        <v>19</v>
      </c>
      <c r="R10" s="225">
        <f t="shared" si="7"/>
        <v>3</v>
      </c>
      <c r="S10" s="225">
        <f t="shared" si="8"/>
        <v>5</v>
      </c>
      <c r="T10" s="225">
        <f t="shared" si="9"/>
        <v>1</v>
      </c>
      <c r="U10" s="229">
        <f t="shared" si="10"/>
        <v>1.373291015625</v>
      </c>
      <c r="V10" s="230">
        <v>0.95</v>
      </c>
    </row>
    <row r="11" spans="1:25" x14ac:dyDescent="0.2">
      <c r="A11" s="1" t="s">
        <v>344</v>
      </c>
      <c r="B11" s="138">
        <v>249</v>
      </c>
      <c r="C11" s="221">
        <f>(B11/$X$1)*stat!$E$22</f>
        <v>0.12968749999999998</v>
      </c>
      <c r="D11" s="171">
        <v>42.5</v>
      </c>
      <c r="E11" s="171">
        <v>43.24</v>
      </c>
      <c r="F11" s="130">
        <v>133</v>
      </c>
      <c r="G11" s="172">
        <v>1150</v>
      </c>
      <c r="H11" s="13">
        <f t="shared" si="0"/>
        <v>1017</v>
      </c>
      <c r="I11" s="172">
        <v>1164</v>
      </c>
      <c r="J11" s="13">
        <f t="shared" si="1"/>
        <v>1031</v>
      </c>
      <c r="K11" s="172">
        <f t="shared" si="2"/>
        <v>14</v>
      </c>
      <c r="L11" s="179">
        <f t="shared" si="11"/>
        <v>0.74000000000000199</v>
      </c>
      <c r="M11" s="227" t="s">
        <v>88</v>
      </c>
      <c r="N11" s="45"/>
      <c r="O11">
        <f t="shared" si="4"/>
        <v>1</v>
      </c>
      <c r="P11" s="11">
        <f t="shared" si="5"/>
        <v>25.159228854709205</v>
      </c>
      <c r="Q11" s="225">
        <f t="shared" si="6"/>
        <v>13</v>
      </c>
      <c r="R11" s="225">
        <f t="shared" si="7"/>
        <v>22</v>
      </c>
      <c r="S11" s="225">
        <f t="shared" si="8"/>
        <v>18</v>
      </c>
      <c r="T11" s="225">
        <f t="shared" si="9"/>
        <v>24</v>
      </c>
      <c r="U11" s="229">
        <f t="shared" si="10"/>
        <v>1.3069729275173614</v>
      </c>
      <c r="V11" s="230">
        <v>1</v>
      </c>
    </row>
    <row r="12" spans="1:25" x14ac:dyDescent="0.2">
      <c r="A12" s="1" t="s">
        <v>340</v>
      </c>
      <c r="B12" s="138">
        <v>198</v>
      </c>
      <c r="C12" s="221">
        <f>(B12/$X$1)*stat!$E$22</f>
        <v>0.10312499999999999</v>
      </c>
      <c r="D12" s="171">
        <v>38</v>
      </c>
      <c r="E12" s="171">
        <v>38</v>
      </c>
      <c r="F12" s="130">
        <v>400</v>
      </c>
      <c r="G12" s="172">
        <v>841</v>
      </c>
      <c r="H12" s="8">
        <f t="shared" si="0"/>
        <v>441</v>
      </c>
      <c r="I12" s="172">
        <v>841</v>
      </c>
      <c r="J12" s="8">
        <f t="shared" si="1"/>
        <v>441</v>
      </c>
      <c r="K12" s="172">
        <f t="shared" si="2"/>
        <v>0</v>
      </c>
      <c r="L12" s="179">
        <f t="shared" si="11"/>
        <v>0</v>
      </c>
      <c r="M12" s="227" t="s">
        <v>340</v>
      </c>
      <c r="N12" s="45"/>
      <c r="O12">
        <f t="shared" si="4"/>
        <v>14</v>
      </c>
      <c r="P12" s="11">
        <f t="shared" si="5"/>
        <v>16.934105224609375</v>
      </c>
      <c r="Q12" s="225">
        <f t="shared" si="6"/>
        <v>18</v>
      </c>
      <c r="R12" s="225">
        <f t="shared" si="7"/>
        <v>20</v>
      </c>
      <c r="S12" s="225">
        <f t="shared" si="8"/>
        <v>11</v>
      </c>
      <c r="T12" s="225">
        <f t="shared" si="9"/>
        <v>6</v>
      </c>
      <c r="U12" s="229">
        <f t="shared" si="10"/>
        <v>1.3684125434027776</v>
      </c>
      <c r="V12" s="230">
        <v>0.9</v>
      </c>
    </row>
    <row r="13" spans="1:25" x14ac:dyDescent="0.2">
      <c r="A13" s="1" t="s">
        <v>411</v>
      </c>
      <c r="B13" s="182">
        <v>212</v>
      </c>
      <c r="C13" s="221">
        <f>(B13/$X$1)*stat!$E$22</f>
        <v>0.11041666666666666</v>
      </c>
      <c r="D13" s="183">
        <v>24.2</v>
      </c>
      <c r="E13" s="183">
        <v>24.2</v>
      </c>
      <c r="F13" s="180">
        <v>415</v>
      </c>
      <c r="G13" s="184">
        <v>816</v>
      </c>
      <c r="H13" s="13">
        <f t="shared" si="0"/>
        <v>401</v>
      </c>
      <c r="I13" s="184">
        <v>816</v>
      </c>
      <c r="J13" s="13">
        <f t="shared" si="1"/>
        <v>401</v>
      </c>
      <c r="K13" s="172">
        <f t="shared" si="2"/>
        <v>0</v>
      </c>
      <c r="L13" s="179">
        <f t="shared" si="11"/>
        <v>0</v>
      </c>
      <c r="M13" s="227" t="s">
        <v>411</v>
      </c>
      <c r="N13" s="45"/>
      <c r="O13">
        <f t="shared" si="4"/>
        <v>23</v>
      </c>
      <c r="P13" s="11">
        <f t="shared" si="5"/>
        <v>12.5005078125</v>
      </c>
      <c r="Q13" s="225">
        <f t="shared" si="6"/>
        <v>17</v>
      </c>
      <c r="R13" s="225">
        <f t="shared" si="7"/>
        <v>8</v>
      </c>
      <c r="S13" s="225">
        <f t="shared" si="8"/>
        <v>9</v>
      </c>
      <c r="T13" s="225">
        <f t="shared" si="9"/>
        <v>3</v>
      </c>
      <c r="U13" s="229">
        <f t="shared" si="10"/>
        <v>1.3514062500000001</v>
      </c>
      <c r="V13" s="230">
        <v>1</v>
      </c>
    </row>
    <row r="14" spans="1:25" x14ac:dyDescent="0.2">
      <c r="A14" s="1" t="s">
        <v>332</v>
      </c>
      <c r="B14" s="138">
        <v>223</v>
      </c>
      <c r="C14" s="221">
        <f>(B14/$X$1)*stat!$E$22</f>
        <v>0.11614583333333334</v>
      </c>
      <c r="D14" s="171">
        <v>27.1</v>
      </c>
      <c r="E14" s="171">
        <v>29.6</v>
      </c>
      <c r="F14" s="130">
        <v>575</v>
      </c>
      <c r="G14" s="172">
        <v>955</v>
      </c>
      <c r="H14" s="13">
        <f t="shared" si="0"/>
        <v>380</v>
      </c>
      <c r="I14" s="172">
        <v>978</v>
      </c>
      <c r="J14" s="13">
        <f t="shared" si="1"/>
        <v>403</v>
      </c>
      <c r="K14" s="172">
        <f t="shared" si="2"/>
        <v>23</v>
      </c>
      <c r="L14" s="179">
        <f t="shared" si="11"/>
        <v>2.5</v>
      </c>
      <c r="M14" s="227" t="s">
        <v>332</v>
      </c>
      <c r="N14" s="45"/>
      <c r="O14">
        <f t="shared" si="4"/>
        <v>19</v>
      </c>
      <c r="P14" s="11">
        <f t="shared" si="5"/>
        <v>15.722895439995659</v>
      </c>
      <c r="Q14" s="225">
        <f t="shared" si="6"/>
        <v>16</v>
      </c>
      <c r="R14" s="225">
        <f t="shared" si="7"/>
        <v>13</v>
      </c>
      <c r="S14" s="225">
        <f t="shared" si="8"/>
        <v>14</v>
      </c>
      <c r="T14" s="225">
        <f t="shared" si="9"/>
        <v>4</v>
      </c>
      <c r="U14" s="229">
        <f t="shared" si="10"/>
        <v>1.3381187608506944</v>
      </c>
      <c r="V14" s="230">
        <v>1</v>
      </c>
    </row>
    <row r="15" spans="1:25" x14ac:dyDescent="0.2">
      <c r="A15" s="1" t="s">
        <v>335</v>
      </c>
      <c r="B15" s="138">
        <v>244</v>
      </c>
      <c r="C15" s="221">
        <f>(B15/$X$1)*stat!$E$22</f>
        <v>0.12708333333333333</v>
      </c>
      <c r="D15" s="171">
        <v>10.5</v>
      </c>
      <c r="E15" s="171">
        <v>10.5</v>
      </c>
      <c r="F15" s="130">
        <v>635</v>
      </c>
      <c r="G15" s="172">
        <v>1051</v>
      </c>
      <c r="H15" s="13">
        <f t="shared" si="0"/>
        <v>416</v>
      </c>
      <c r="I15" s="172">
        <v>1051</v>
      </c>
      <c r="J15" s="13">
        <f t="shared" si="1"/>
        <v>416</v>
      </c>
      <c r="K15" s="172">
        <f t="shared" si="2"/>
        <v>0</v>
      </c>
      <c r="L15" s="179">
        <f t="shared" si="11"/>
        <v>0</v>
      </c>
      <c r="M15" s="227" t="s">
        <v>335</v>
      </c>
      <c r="N15" s="45"/>
      <c r="O15">
        <f t="shared" si="4"/>
        <v>25</v>
      </c>
      <c r="P15" s="11">
        <f t="shared" si="5"/>
        <v>11.2255859375</v>
      </c>
      <c r="Q15" s="225">
        <f t="shared" si="6"/>
        <v>15</v>
      </c>
      <c r="R15" s="225">
        <f t="shared" si="7"/>
        <v>1</v>
      </c>
      <c r="S15" s="225">
        <f t="shared" si="8"/>
        <v>15</v>
      </c>
      <c r="T15" s="225">
        <f t="shared" si="9"/>
        <v>5</v>
      </c>
      <c r="U15" s="229">
        <f t="shared" si="10"/>
        <v>1.3129340277777777</v>
      </c>
      <c r="V15" s="230">
        <v>0.95</v>
      </c>
    </row>
    <row r="16" spans="1:25" x14ac:dyDescent="0.2">
      <c r="A16" s="1" t="s">
        <v>341</v>
      </c>
      <c r="B16" s="138">
        <v>245</v>
      </c>
      <c r="C16" s="221">
        <f>(B16/$X$1)*stat!$E$22</f>
        <v>0.12760416666666666</v>
      </c>
      <c r="D16" s="171">
        <v>27</v>
      </c>
      <c r="E16" s="171">
        <v>27</v>
      </c>
      <c r="F16" s="130">
        <v>400</v>
      </c>
      <c r="G16" s="172">
        <v>794</v>
      </c>
      <c r="H16" s="13">
        <f t="shared" si="0"/>
        <v>394</v>
      </c>
      <c r="I16" s="172">
        <v>794</v>
      </c>
      <c r="J16" s="13">
        <f t="shared" si="1"/>
        <v>394</v>
      </c>
      <c r="K16" s="172">
        <f t="shared" si="2"/>
        <v>0</v>
      </c>
      <c r="L16" s="179">
        <f t="shared" si="11"/>
        <v>0</v>
      </c>
      <c r="M16" s="227" t="s">
        <v>341</v>
      </c>
      <c r="N16" s="45"/>
      <c r="O16">
        <f t="shared" si="4"/>
        <v>26</v>
      </c>
      <c r="P16" s="11">
        <f t="shared" si="5"/>
        <v>10.280767913818359</v>
      </c>
      <c r="Q16" s="225">
        <f t="shared" si="6"/>
        <v>14</v>
      </c>
      <c r="R16" s="225">
        <f t="shared" si="7"/>
        <v>10</v>
      </c>
      <c r="S16" s="225">
        <f t="shared" si="8"/>
        <v>7</v>
      </c>
      <c r="T16" s="225">
        <f t="shared" si="9"/>
        <v>2</v>
      </c>
      <c r="U16" s="229">
        <f t="shared" si="10"/>
        <v>1.3117407226562499</v>
      </c>
      <c r="V16" s="230">
        <v>0.95</v>
      </c>
    </row>
    <row r="17" spans="1:22" x14ac:dyDescent="0.2">
      <c r="A17" s="1" t="s">
        <v>345</v>
      </c>
      <c r="B17" s="138">
        <v>296</v>
      </c>
      <c r="C17" s="221">
        <f>(B17/$X$1)*stat!$E$22</f>
        <v>0.15416666666666667</v>
      </c>
      <c r="D17" s="171">
        <v>21.2</v>
      </c>
      <c r="E17" s="171">
        <v>29.8</v>
      </c>
      <c r="F17" s="130">
        <v>850</v>
      </c>
      <c r="G17" s="172">
        <v>1242</v>
      </c>
      <c r="H17" s="13">
        <f t="shared" si="0"/>
        <v>392</v>
      </c>
      <c r="I17" s="172">
        <v>1493</v>
      </c>
      <c r="J17" s="13">
        <f t="shared" si="1"/>
        <v>643</v>
      </c>
      <c r="K17" s="172">
        <f t="shared" si="2"/>
        <v>251</v>
      </c>
      <c r="L17" s="179">
        <f t="shared" si="11"/>
        <v>8.6000000000000014</v>
      </c>
      <c r="M17" s="227" t="s">
        <v>88</v>
      </c>
      <c r="N17" s="45"/>
      <c r="O17">
        <f t="shared" si="4"/>
        <v>8</v>
      </c>
      <c r="P17" s="11">
        <f t="shared" si="5"/>
        <v>19.321599121093747</v>
      </c>
      <c r="Q17" s="225">
        <f t="shared" si="6"/>
        <v>12</v>
      </c>
      <c r="R17" s="225">
        <f t="shared" si="7"/>
        <v>14</v>
      </c>
      <c r="S17" s="225">
        <f t="shared" si="8"/>
        <v>22</v>
      </c>
      <c r="T17" s="225">
        <f t="shared" si="9"/>
        <v>17</v>
      </c>
      <c r="U17" s="229">
        <f t="shared" si="10"/>
        <v>1.2516015624999999</v>
      </c>
      <c r="V17" s="230">
        <v>0.95</v>
      </c>
    </row>
    <row r="18" spans="1:22" x14ac:dyDescent="0.2">
      <c r="A18" s="1" t="s">
        <v>343</v>
      </c>
      <c r="B18" s="138">
        <v>337</v>
      </c>
      <c r="C18" s="221">
        <f>(B18/$X$1)*stat!$E$22</f>
        <v>0.17552083333333335</v>
      </c>
      <c r="D18" s="171">
        <v>29.6</v>
      </c>
      <c r="E18" s="171">
        <v>29.6</v>
      </c>
      <c r="F18" s="130">
        <v>375</v>
      </c>
      <c r="G18" s="172">
        <v>1220</v>
      </c>
      <c r="H18" s="8">
        <f t="shared" si="0"/>
        <v>845</v>
      </c>
      <c r="I18" s="172">
        <v>1284</v>
      </c>
      <c r="J18" s="8">
        <f t="shared" si="1"/>
        <v>909</v>
      </c>
      <c r="K18" s="172">
        <f t="shared" si="2"/>
        <v>64</v>
      </c>
      <c r="L18" s="179">
        <f t="shared" si="11"/>
        <v>0</v>
      </c>
      <c r="M18" s="227" t="s">
        <v>88</v>
      </c>
      <c r="N18" s="45"/>
      <c r="O18">
        <f t="shared" si="4"/>
        <v>11</v>
      </c>
      <c r="P18" s="11">
        <f t="shared" si="5"/>
        <v>17.341597656249998</v>
      </c>
      <c r="Q18" s="225">
        <f t="shared" si="6"/>
        <v>10</v>
      </c>
      <c r="R18" s="225">
        <f t="shared" si="7"/>
        <v>13</v>
      </c>
      <c r="S18" s="225">
        <f t="shared" si="8"/>
        <v>19</v>
      </c>
      <c r="T18" s="225">
        <f t="shared" si="9"/>
        <v>22</v>
      </c>
      <c r="U18" s="229">
        <f t="shared" si="10"/>
        <v>1.2042776150173611</v>
      </c>
      <c r="V18" s="230">
        <v>0.9</v>
      </c>
    </row>
    <row r="19" spans="1:22" x14ac:dyDescent="0.2">
      <c r="A19" s="1" t="s">
        <v>330</v>
      </c>
      <c r="B19" s="138">
        <v>325</v>
      </c>
      <c r="C19" s="221">
        <f>(B19/$X$1)*stat!$E$22</f>
        <v>0.16927083333333331</v>
      </c>
      <c r="D19" s="171">
        <v>52</v>
      </c>
      <c r="E19" s="171">
        <v>54.8</v>
      </c>
      <c r="F19" s="130">
        <v>652</v>
      </c>
      <c r="G19" s="172">
        <v>1037</v>
      </c>
      <c r="H19" s="13">
        <f t="shared" si="0"/>
        <v>385</v>
      </c>
      <c r="I19" s="172">
        <v>1129</v>
      </c>
      <c r="J19" s="13">
        <f t="shared" si="1"/>
        <v>477</v>
      </c>
      <c r="K19" s="172">
        <f t="shared" si="2"/>
        <v>92</v>
      </c>
      <c r="L19" s="179">
        <f t="shared" si="11"/>
        <v>2.7999999999999972</v>
      </c>
      <c r="M19" s="227" t="s">
        <v>419</v>
      </c>
      <c r="N19" s="45"/>
      <c r="O19">
        <f t="shared" si="4"/>
        <v>9</v>
      </c>
      <c r="P19" s="11">
        <f t="shared" si="5"/>
        <v>19.184037475585932</v>
      </c>
      <c r="Q19" s="225">
        <f t="shared" si="6"/>
        <v>11</v>
      </c>
      <c r="R19" s="225">
        <f t="shared" si="7"/>
        <v>25</v>
      </c>
      <c r="S19" s="225">
        <f t="shared" si="8"/>
        <v>16</v>
      </c>
      <c r="T19" s="225">
        <f t="shared" si="9"/>
        <v>11</v>
      </c>
      <c r="U19" s="229">
        <f t="shared" si="10"/>
        <v>1.2180341254340274</v>
      </c>
      <c r="V19" s="230">
        <v>1</v>
      </c>
    </row>
    <row r="20" spans="1:22" x14ac:dyDescent="0.2">
      <c r="A20" s="1" t="s">
        <v>424</v>
      </c>
      <c r="B20" s="138">
        <v>346</v>
      </c>
      <c r="C20" s="221">
        <f>(B20/$X$1)*stat!$E$22</f>
        <v>0.18020833333333333</v>
      </c>
      <c r="D20" s="171">
        <v>51.4</v>
      </c>
      <c r="E20" s="171">
        <v>51.4</v>
      </c>
      <c r="F20" s="130">
        <v>240</v>
      </c>
      <c r="G20" s="172">
        <v>820</v>
      </c>
      <c r="H20" s="8">
        <f t="shared" si="0"/>
        <v>580</v>
      </c>
      <c r="I20" s="172">
        <v>834</v>
      </c>
      <c r="J20" s="8">
        <f t="shared" si="1"/>
        <v>594</v>
      </c>
      <c r="K20" s="172">
        <f t="shared" si="2"/>
        <v>14</v>
      </c>
      <c r="L20" s="179">
        <v>1.2</v>
      </c>
      <c r="M20" s="227" t="s">
        <v>329</v>
      </c>
      <c r="N20" s="45"/>
      <c r="O20">
        <f t="shared" si="4"/>
        <v>12</v>
      </c>
      <c r="P20" s="11">
        <f t="shared" si="5"/>
        <v>17.313166775173613</v>
      </c>
      <c r="Q20" s="225">
        <f t="shared" si="6"/>
        <v>9</v>
      </c>
      <c r="R20" s="225">
        <f t="shared" si="7"/>
        <v>24</v>
      </c>
      <c r="S20" s="225">
        <f t="shared" si="8"/>
        <v>10</v>
      </c>
      <c r="T20" s="225">
        <f t="shared" si="9"/>
        <v>15</v>
      </c>
      <c r="U20" s="229">
        <f t="shared" si="10"/>
        <v>1.1940115017361113</v>
      </c>
      <c r="V20" s="230">
        <v>1</v>
      </c>
    </row>
    <row r="21" spans="1:22" x14ac:dyDescent="0.2">
      <c r="A21" s="1" t="s">
        <v>342</v>
      </c>
      <c r="B21" s="138">
        <v>350</v>
      </c>
      <c r="C21" s="221">
        <f>(B21/$X$1)*stat!$E$22</f>
        <v>0.18229166666666666</v>
      </c>
      <c r="D21" s="171">
        <v>43</v>
      </c>
      <c r="E21" s="171">
        <v>57.4</v>
      </c>
      <c r="F21" s="130">
        <v>300</v>
      </c>
      <c r="G21" s="172">
        <v>1190</v>
      </c>
      <c r="H21" s="13">
        <f t="shared" si="0"/>
        <v>890</v>
      </c>
      <c r="I21" s="172">
        <v>1414</v>
      </c>
      <c r="J21" s="13">
        <f t="shared" si="1"/>
        <v>1114</v>
      </c>
      <c r="K21" s="172">
        <f t="shared" si="2"/>
        <v>224</v>
      </c>
      <c r="L21" s="179">
        <f t="shared" ref="L21:L28" si="12">E21-D21</f>
        <v>14.399999999999999</v>
      </c>
      <c r="M21" s="227" t="s">
        <v>88</v>
      </c>
      <c r="N21" s="45"/>
      <c r="O21">
        <f t="shared" si="4"/>
        <v>2</v>
      </c>
      <c r="P21" s="11">
        <f t="shared" si="5"/>
        <v>23.789257812500001</v>
      </c>
      <c r="Q21" s="225">
        <f t="shared" si="6"/>
        <v>8</v>
      </c>
      <c r="R21" s="225">
        <f t="shared" si="7"/>
        <v>27</v>
      </c>
      <c r="S21" s="225">
        <f t="shared" si="8"/>
        <v>20</v>
      </c>
      <c r="T21" s="225">
        <f t="shared" si="9"/>
        <v>25</v>
      </c>
      <c r="U21" s="229">
        <f t="shared" si="10"/>
        <v>1.189462890625</v>
      </c>
      <c r="V21" s="230">
        <v>1</v>
      </c>
    </row>
    <row r="22" spans="1:22" x14ac:dyDescent="0.2">
      <c r="A22" s="1" t="s">
        <v>577</v>
      </c>
      <c r="B22" s="138">
        <v>370</v>
      </c>
      <c r="C22" s="221">
        <f>(B22/$X$1)*stat!$E$22</f>
        <v>0.19270833333333331</v>
      </c>
      <c r="D22" s="171">
        <v>19.260000000000002</v>
      </c>
      <c r="E22" s="171">
        <v>23.26</v>
      </c>
      <c r="F22" s="130">
        <v>760</v>
      </c>
      <c r="G22" s="172">
        <v>1407</v>
      </c>
      <c r="H22" s="8">
        <f t="shared" si="0"/>
        <v>647</v>
      </c>
      <c r="I22" s="172">
        <v>1625</v>
      </c>
      <c r="J22" s="8">
        <f t="shared" si="1"/>
        <v>865</v>
      </c>
      <c r="K22" s="172">
        <f t="shared" si="2"/>
        <v>218</v>
      </c>
      <c r="L22" s="179">
        <f t="shared" si="12"/>
        <v>4</v>
      </c>
      <c r="M22" s="227" t="s">
        <v>419</v>
      </c>
      <c r="N22" s="45"/>
      <c r="O22">
        <f t="shared" si="4"/>
        <v>16</v>
      </c>
      <c r="P22" s="11">
        <f t="shared" si="5"/>
        <v>16.335900607638884</v>
      </c>
      <c r="Q22" s="225">
        <f t="shared" si="6"/>
        <v>7</v>
      </c>
      <c r="R22" s="225">
        <f t="shared" si="7"/>
        <v>6</v>
      </c>
      <c r="S22" s="225">
        <f t="shared" si="8"/>
        <v>23</v>
      </c>
      <c r="T22" s="225">
        <f t="shared" si="9"/>
        <v>20</v>
      </c>
      <c r="U22" s="229">
        <f t="shared" si="10"/>
        <v>1.1668500434027775</v>
      </c>
      <c r="V22" s="230">
        <v>1</v>
      </c>
    </row>
    <row r="23" spans="1:22" x14ac:dyDescent="0.2">
      <c r="A23" s="1" t="s">
        <v>327</v>
      </c>
      <c r="B23" s="138">
        <v>382</v>
      </c>
      <c r="C23" s="221">
        <f>(B23/$X$1)*stat!$E$22</f>
        <v>0.19895833333333335</v>
      </c>
      <c r="D23" s="171">
        <v>20.2</v>
      </c>
      <c r="E23" s="171">
        <v>35.799999999999997</v>
      </c>
      <c r="F23" s="130">
        <v>586</v>
      </c>
      <c r="G23" s="172">
        <v>1120</v>
      </c>
      <c r="H23" s="8">
        <f t="shared" si="0"/>
        <v>534</v>
      </c>
      <c r="I23" s="172">
        <v>1456</v>
      </c>
      <c r="J23" s="8">
        <f t="shared" si="1"/>
        <v>870</v>
      </c>
      <c r="K23" s="172">
        <f t="shared" si="2"/>
        <v>336</v>
      </c>
      <c r="L23" s="179">
        <f t="shared" si="12"/>
        <v>15.599999999999998</v>
      </c>
      <c r="M23" s="227" t="s">
        <v>327</v>
      </c>
      <c r="N23" s="45"/>
      <c r="O23">
        <f t="shared" si="4"/>
        <v>10</v>
      </c>
      <c r="P23" s="11">
        <f t="shared" si="5"/>
        <v>17.805404120551213</v>
      </c>
      <c r="Q23" s="225">
        <f t="shared" si="6"/>
        <v>6</v>
      </c>
      <c r="R23" s="225">
        <f t="shared" si="7"/>
        <v>17</v>
      </c>
      <c r="S23" s="225">
        <f t="shared" si="8"/>
        <v>21</v>
      </c>
      <c r="T23" s="225">
        <f t="shared" si="9"/>
        <v>21</v>
      </c>
      <c r="U23" s="229">
        <f t="shared" si="10"/>
        <v>1.1533865017361111</v>
      </c>
      <c r="V23" s="230">
        <v>0.95</v>
      </c>
    </row>
    <row r="24" spans="1:22" x14ac:dyDescent="0.2">
      <c r="A24" s="1" t="s">
        <v>420</v>
      </c>
      <c r="B24" s="182">
        <v>404</v>
      </c>
      <c r="C24" s="221">
        <f>(B24/$X$1)*stat!$E$22</f>
        <v>0.21041666666666664</v>
      </c>
      <c r="D24" s="183">
        <v>48.2</v>
      </c>
      <c r="E24" s="183">
        <v>48.2</v>
      </c>
      <c r="F24" s="180">
        <v>284</v>
      </c>
      <c r="G24" s="184">
        <v>1141</v>
      </c>
      <c r="H24" s="13">
        <f t="shared" si="0"/>
        <v>857</v>
      </c>
      <c r="I24" s="184">
        <v>1141</v>
      </c>
      <c r="J24" s="13">
        <f t="shared" si="1"/>
        <v>857</v>
      </c>
      <c r="K24" s="5">
        <f t="shared" si="2"/>
        <v>0</v>
      </c>
      <c r="L24" s="11">
        <f t="shared" si="12"/>
        <v>0</v>
      </c>
      <c r="M24" s="226" t="s">
        <v>329</v>
      </c>
      <c r="N24" s="45"/>
      <c r="O24">
        <f t="shared" si="4"/>
        <v>22</v>
      </c>
      <c r="P24" s="11">
        <f t="shared" si="5"/>
        <v>14.22421875</v>
      </c>
      <c r="Q24" s="225">
        <f t="shared" si="6"/>
        <v>4</v>
      </c>
      <c r="R24" s="225">
        <f t="shared" si="7"/>
        <v>23</v>
      </c>
      <c r="S24" s="225">
        <f t="shared" si="8"/>
        <v>17</v>
      </c>
      <c r="T24" s="225">
        <f t="shared" si="9"/>
        <v>19</v>
      </c>
      <c r="U24" s="229">
        <f t="shared" si="10"/>
        <v>1.12890625</v>
      </c>
      <c r="V24" s="230">
        <v>0.8</v>
      </c>
    </row>
    <row r="25" spans="1:22" x14ac:dyDescent="0.2">
      <c r="A25" s="1" t="s">
        <v>430</v>
      </c>
      <c r="B25" s="182">
        <v>404</v>
      </c>
      <c r="C25" s="221">
        <f>(B25/$X$1)*stat!$E$22</f>
        <v>0.21041666666666664</v>
      </c>
      <c r="D25" s="183">
        <v>28.6</v>
      </c>
      <c r="E25" s="183">
        <v>28.6</v>
      </c>
      <c r="F25" s="180">
        <v>920</v>
      </c>
      <c r="G25" s="184">
        <v>1761</v>
      </c>
      <c r="H25" s="13">
        <f t="shared" si="0"/>
        <v>841</v>
      </c>
      <c r="I25" s="184">
        <v>1761</v>
      </c>
      <c r="J25" s="13">
        <f t="shared" si="1"/>
        <v>841</v>
      </c>
      <c r="K25" s="5">
        <f t="shared" si="2"/>
        <v>0</v>
      </c>
      <c r="L25" s="11">
        <f t="shared" si="12"/>
        <v>0</v>
      </c>
      <c r="M25" s="226" t="s">
        <v>419</v>
      </c>
      <c r="N25" s="45"/>
      <c r="O25">
        <f t="shared" si="4"/>
        <v>17</v>
      </c>
      <c r="P25" s="11">
        <f t="shared" si="5"/>
        <v>16.0869140625</v>
      </c>
      <c r="Q25" s="225">
        <f t="shared" si="6"/>
        <v>4</v>
      </c>
      <c r="R25" s="225">
        <f t="shared" si="7"/>
        <v>11</v>
      </c>
      <c r="S25" s="225">
        <f t="shared" si="8"/>
        <v>24</v>
      </c>
      <c r="T25" s="225">
        <f t="shared" si="9"/>
        <v>18</v>
      </c>
      <c r="U25" s="229">
        <f t="shared" si="10"/>
        <v>1.12890625</v>
      </c>
      <c r="V25" s="230">
        <v>1</v>
      </c>
    </row>
    <row r="26" spans="1:22" x14ac:dyDescent="0.2">
      <c r="A26" s="1" t="s">
        <v>500</v>
      </c>
      <c r="B26" s="138">
        <v>460</v>
      </c>
      <c r="C26" s="221">
        <f>(B26/$X$1)*stat!$E$22</f>
        <v>0.23958333333333331</v>
      </c>
      <c r="D26" s="171">
        <v>30</v>
      </c>
      <c r="E26" s="171">
        <v>30</v>
      </c>
      <c r="F26" s="130">
        <v>1065</v>
      </c>
      <c r="G26" s="172">
        <v>2037</v>
      </c>
      <c r="H26" s="84">
        <f t="shared" si="0"/>
        <v>972</v>
      </c>
      <c r="I26" s="172">
        <v>2037</v>
      </c>
      <c r="J26" s="84">
        <f t="shared" si="1"/>
        <v>972</v>
      </c>
      <c r="K26" s="172">
        <f t="shared" si="2"/>
        <v>0</v>
      </c>
      <c r="L26" s="179">
        <f t="shared" si="12"/>
        <v>0</v>
      </c>
      <c r="M26" s="227" t="s">
        <v>419</v>
      </c>
      <c r="N26" s="45"/>
      <c r="O26">
        <f t="shared" si="4"/>
        <v>18</v>
      </c>
      <c r="P26" s="11">
        <f t="shared" si="5"/>
        <v>15.856499999999997</v>
      </c>
      <c r="Q26" s="225">
        <f t="shared" si="6"/>
        <v>3</v>
      </c>
      <c r="R26" s="225">
        <f t="shared" si="7"/>
        <v>15</v>
      </c>
      <c r="S26" s="225">
        <f t="shared" si="8"/>
        <v>25</v>
      </c>
      <c r="T26" s="225">
        <f t="shared" si="9"/>
        <v>23</v>
      </c>
      <c r="U26" s="229">
        <f t="shared" si="10"/>
        <v>1.0677777777777775</v>
      </c>
      <c r="V26" s="230">
        <v>0.9</v>
      </c>
    </row>
    <row r="27" spans="1:22" x14ac:dyDescent="0.2">
      <c r="A27" s="1" t="s">
        <v>418</v>
      </c>
      <c r="B27" s="182">
        <v>478</v>
      </c>
      <c r="C27" s="221">
        <f>(B27/$X$1)*stat!$E$22</f>
        <v>0.24895833333333331</v>
      </c>
      <c r="D27" s="183">
        <v>30.6</v>
      </c>
      <c r="E27" s="183">
        <v>30.6</v>
      </c>
      <c r="F27" s="180">
        <v>1442</v>
      </c>
      <c r="G27" s="184">
        <v>2803</v>
      </c>
      <c r="H27" s="13">
        <f t="shared" si="0"/>
        <v>1361</v>
      </c>
      <c r="I27" s="184">
        <v>2830</v>
      </c>
      <c r="J27" s="13">
        <f t="shared" si="1"/>
        <v>1388</v>
      </c>
      <c r="K27" s="5">
        <f t="shared" si="2"/>
        <v>27</v>
      </c>
      <c r="L27" s="11">
        <f t="shared" si="12"/>
        <v>0</v>
      </c>
      <c r="M27" s="227" t="s">
        <v>419</v>
      </c>
      <c r="N27" s="45"/>
      <c r="O27">
        <f t="shared" si="4"/>
        <v>15</v>
      </c>
      <c r="P27" s="11">
        <f t="shared" si="5"/>
        <v>16.513728027343749</v>
      </c>
      <c r="Q27" s="225">
        <f t="shared" si="6"/>
        <v>2</v>
      </c>
      <c r="R27" s="225">
        <f t="shared" si="7"/>
        <v>16</v>
      </c>
      <c r="S27" s="225">
        <f t="shared" si="8"/>
        <v>26</v>
      </c>
      <c r="T27" s="225">
        <f t="shared" si="9"/>
        <v>26</v>
      </c>
      <c r="U27" s="229">
        <f t="shared" si="10"/>
        <v>1.0484906684027777</v>
      </c>
      <c r="V27" s="230">
        <v>0.9</v>
      </c>
    </row>
    <row r="28" spans="1:22" x14ac:dyDescent="0.2">
      <c r="A28" s="1" t="s">
        <v>417</v>
      </c>
      <c r="B28" s="182">
        <v>524</v>
      </c>
      <c r="C28" s="221">
        <f>(B28/$X$1)*stat!$E$22</f>
        <v>0.27291666666666664</v>
      </c>
      <c r="D28" s="183">
        <v>50.8</v>
      </c>
      <c r="E28" s="183">
        <v>55.2</v>
      </c>
      <c r="F28" s="180">
        <v>900</v>
      </c>
      <c r="G28" s="184">
        <v>2757</v>
      </c>
      <c r="H28" s="13">
        <f t="shared" si="0"/>
        <v>1857</v>
      </c>
      <c r="I28" s="184">
        <v>3010</v>
      </c>
      <c r="J28" s="13">
        <f t="shared" si="1"/>
        <v>2110</v>
      </c>
      <c r="K28" s="5">
        <f t="shared" si="2"/>
        <v>253</v>
      </c>
      <c r="L28" s="11">
        <f t="shared" si="12"/>
        <v>4.4000000000000057</v>
      </c>
      <c r="M28" s="227" t="s">
        <v>419</v>
      </c>
      <c r="N28" s="45"/>
      <c r="O28">
        <f t="shared" si="4"/>
        <v>13</v>
      </c>
      <c r="P28" s="11">
        <f t="shared" si="5"/>
        <v>17.212499999999999</v>
      </c>
      <c r="Q28" s="225">
        <f t="shared" si="6"/>
        <v>1</v>
      </c>
      <c r="R28" s="225">
        <f t="shared" si="7"/>
        <v>26</v>
      </c>
      <c r="S28" s="225">
        <f t="shared" si="8"/>
        <v>27</v>
      </c>
      <c r="T28" s="225">
        <f t="shared" si="9"/>
        <v>27</v>
      </c>
      <c r="U28" s="229">
        <f t="shared" si="10"/>
        <v>1</v>
      </c>
      <c r="V28" s="230">
        <v>0.85</v>
      </c>
    </row>
    <row r="29" spans="1:22" x14ac:dyDescent="0.2">
      <c r="A29" s="1"/>
      <c r="H29" s="13"/>
      <c r="J29" s="13"/>
      <c r="M29" s="226"/>
      <c r="N29" s="45"/>
    </row>
    <row r="30" spans="1:22" x14ac:dyDescent="0.2">
      <c r="A30" s="1"/>
      <c r="H30" s="13"/>
      <c r="J30" s="13"/>
      <c r="M30" s="226"/>
      <c r="N30" s="45"/>
    </row>
    <row r="31" spans="1:22" x14ac:dyDescent="0.2">
      <c r="A31" s="1"/>
      <c r="H31" s="13"/>
      <c r="J31" s="13"/>
      <c r="M31" s="226"/>
      <c r="N31" s="45"/>
    </row>
    <row r="32" spans="1:22" x14ac:dyDescent="0.2">
      <c r="A32" s="1"/>
      <c r="H32" s="13"/>
      <c r="J32" s="13"/>
      <c r="M32" s="226"/>
      <c r="N32" s="45"/>
    </row>
    <row r="33" spans="1:14" x14ac:dyDescent="0.2">
      <c r="A33" s="1"/>
      <c r="H33" s="13"/>
      <c r="J33" s="13"/>
      <c r="M33" s="226"/>
      <c r="N33" s="45"/>
    </row>
    <row r="34" spans="1:14" x14ac:dyDescent="0.2">
      <c r="A34" s="1"/>
      <c r="H34" s="13"/>
      <c r="J34" s="13"/>
      <c r="M34" s="226"/>
      <c r="N34" s="45"/>
    </row>
    <row r="35" spans="1:14" x14ac:dyDescent="0.2">
      <c r="A35" s="1"/>
      <c r="H35" s="13"/>
      <c r="J35" s="13"/>
      <c r="M35" s="226"/>
      <c r="N35" s="45"/>
    </row>
    <row r="36" spans="1:14" x14ac:dyDescent="0.2">
      <c r="A36" s="1"/>
      <c r="H36" s="13"/>
      <c r="J36" s="13"/>
      <c r="M36" s="226"/>
      <c r="N36" s="45"/>
    </row>
    <row r="37" spans="1:14" x14ac:dyDescent="0.2">
      <c r="A37" s="1"/>
      <c r="H37" s="13"/>
      <c r="J37" s="13"/>
      <c r="M37" s="226"/>
      <c r="N37" s="45"/>
    </row>
    <row r="38" spans="1:14" x14ac:dyDescent="0.2">
      <c r="A38" s="1"/>
      <c r="H38" s="13"/>
      <c r="J38" s="13"/>
      <c r="M38" s="226"/>
      <c r="N38" s="45"/>
    </row>
    <row r="39" spans="1:14" x14ac:dyDescent="0.2">
      <c r="A39" s="1"/>
      <c r="H39" s="13"/>
      <c r="J39" s="13"/>
      <c r="M39" s="226"/>
      <c r="N39" s="45"/>
    </row>
    <row r="40" spans="1:14" x14ac:dyDescent="0.2">
      <c r="H40" s="13"/>
      <c r="J40" s="13"/>
      <c r="M40" s="226"/>
      <c r="N40" s="45"/>
    </row>
    <row r="41" spans="1:14" x14ac:dyDescent="0.2">
      <c r="H41" s="13"/>
      <c r="J41" s="13"/>
      <c r="M41" s="226"/>
      <c r="N41" s="45"/>
    </row>
    <row r="42" spans="1:14" x14ac:dyDescent="0.2">
      <c r="H42" s="13"/>
      <c r="J42" s="13"/>
      <c r="M42" s="226"/>
      <c r="N42" s="45"/>
    </row>
  </sheetData>
  <sortState ref="A2:V28">
    <sortCondition ref="C1"/>
  </sortState>
  <conditionalFormatting sqref="B2:B1048576">
    <cfRule type="cellIs" dxfId="1199" priority="63" operator="equal">
      <formula>MAX($B:$B)</formula>
    </cfRule>
    <cfRule type="cellIs" dxfId="1198" priority="64" operator="equal">
      <formula>MIN($B:$B)</formula>
    </cfRule>
    <cfRule type="cellIs" dxfId="1197" priority="65" stopIfTrue="1" operator="equal">
      <formula>0</formula>
    </cfRule>
    <cfRule type="cellIs" dxfId="1196" priority="114" stopIfTrue="1" operator="between">
      <formula>0.1</formula>
      <formula>99.9</formula>
    </cfRule>
    <cfRule type="cellIs" dxfId="1195" priority="115" stopIfTrue="1" operator="between">
      <formula>100</formula>
      <formula>199.9</formula>
    </cfRule>
    <cfRule type="cellIs" dxfId="1194" priority="116" stopIfTrue="1" operator="between">
      <formula>200</formula>
      <formula>399.99</formula>
    </cfRule>
    <cfRule type="cellIs" dxfId="1193" priority="117" stopIfTrue="1" operator="between">
      <formula>400</formula>
      <formula>9999.99</formula>
    </cfRule>
  </conditionalFormatting>
  <conditionalFormatting sqref="C1:C1048576">
    <cfRule type="cellIs" dxfId="1192" priority="61" operator="equal">
      <formula>MAX($C:$C)</formula>
    </cfRule>
    <cfRule type="cellIs" dxfId="1191" priority="62" operator="equal">
      <formula>MIN($C:$C)</formula>
    </cfRule>
    <cfRule type="cellIs" dxfId="1190" priority="80" stopIfTrue="1" operator="equal">
      <formula>0</formula>
    </cfRule>
    <cfRule type="cellIs" dxfId="1189" priority="107" stopIfTrue="1" operator="between">
      <formula>0.0000115740740740741</formula>
      <formula>0.0416665509259259</formula>
    </cfRule>
    <cfRule type="cellIs" dxfId="1188" priority="108" stopIfTrue="1" operator="between">
      <formula>1.15740740740741E-07</formula>
      <formula>0.0833332175925926</formula>
    </cfRule>
    <cfRule type="cellIs" dxfId="1187" priority="109" stopIfTrue="1" operator="between">
      <formula>0.0833333333333333</formula>
      <formula>0.104166550925926</formula>
    </cfRule>
    <cfRule type="cellIs" dxfId="1186" priority="110" stopIfTrue="1" operator="between">
      <formula>0.104166666666667</formula>
      <formula>0.124999884259259</formula>
    </cfRule>
    <cfRule type="cellIs" dxfId="1185" priority="111" stopIfTrue="1" operator="between">
      <formula>0.125</formula>
      <formula>0.145833217592593</formula>
    </cfRule>
    <cfRule type="cellIs" dxfId="1184" priority="112" stopIfTrue="1" operator="between">
      <formula>0.145833333333333</formula>
      <formula>0.166655092592593</formula>
    </cfRule>
    <cfRule type="cellIs" dxfId="1183" priority="113" stopIfTrue="1" operator="between">
      <formula>0.166666666666667</formula>
      <formula>4.16665509259259</formula>
    </cfRule>
  </conditionalFormatting>
  <conditionalFormatting sqref="D1:E1048576">
    <cfRule type="cellIs" dxfId="1182" priority="104" stopIfTrue="1" operator="between">
      <formula>0</formula>
      <formula>19.99</formula>
    </cfRule>
    <cfRule type="cellIs" dxfId="1181" priority="105" stopIfTrue="1" operator="between">
      <formula>20</formula>
      <formula>49.99</formula>
    </cfRule>
    <cfRule type="cellIs" dxfId="1180" priority="106" stopIfTrue="1" operator="between">
      <formula>50</formula>
      <formula>9999</formula>
    </cfRule>
  </conditionalFormatting>
  <conditionalFormatting sqref="F1:F1048576">
    <cfRule type="cellIs" dxfId="1179" priority="55" operator="equal">
      <formula>MAX($F:$F)</formula>
    </cfRule>
    <cfRule type="cellIs" dxfId="1178" priority="56" operator="equal">
      <formula>MIN($F:$F)</formula>
    </cfRule>
    <cfRule type="cellIs" dxfId="1177" priority="101" stopIfTrue="1" operator="between">
      <formula>0</formula>
      <formula>199.99</formula>
    </cfRule>
    <cfRule type="cellIs" dxfId="1176" priority="102" stopIfTrue="1" operator="between">
      <formula>200</formula>
      <formula>399.99</formula>
    </cfRule>
    <cfRule type="cellIs" dxfId="1175" priority="103" stopIfTrue="1" operator="between">
      <formula>400</formula>
      <formula>9999.99</formula>
    </cfRule>
  </conditionalFormatting>
  <conditionalFormatting sqref="G1:G1048576">
    <cfRule type="cellIs" dxfId="1174" priority="53" operator="equal">
      <formula>MAX($G:$G)</formula>
    </cfRule>
    <cfRule type="cellIs" dxfId="1173" priority="54" operator="equal">
      <formula>MIN($G:$G)</formula>
    </cfRule>
    <cfRule type="cellIs" dxfId="1172" priority="98" stopIfTrue="1" operator="between">
      <formula>0</formula>
      <formula>499.99</formula>
    </cfRule>
    <cfRule type="cellIs" dxfId="1171" priority="99" stopIfTrue="1" operator="between">
      <formula>500</formula>
      <formula>999.99</formula>
    </cfRule>
    <cfRule type="cellIs" dxfId="1170" priority="100" stopIfTrue="1" operator="between">
      <formula>1000</formula>
      <formula>9999.99</formula>
    </cfRule>
  </conditionalFormatting>
  <conditionalFormatting sqref="I1:I1048576">
    <cfRule type="cellIs" dxfId="1169" priority="49" operator="equal">
      <formula>MAX($I:$I)</formula>
    </cfRule>
    <cfRule type="cellIs" dxfId="1168" priority="50" operator="equal">
      <formula>MIN($I:$I)</formula>
    </cfRule>
    <cfRule type="cellIs" dxfId="1167" priority="70" stopIfTrue="1" operator="between">
      <formula>0</formula>
      <formula>499.99</formula>
    </cfRule>
    <cfRule type="cellIs" dxfId="1166" priority="95" stopIfTrue="1" operator="between">
      <formula>500</formula>
      <formula>999.99</formula>
    </cfRule>
    <cfRule type="cellIs" dxfId="1165" priority="96" stopIfTrue="1" operator="between">
      <formula>1000</formula>
      <formula>1499.99</formula>
    </cfRule>
    <cfRule type="cellIs" dxfId="1164" priority="97" stopIfTrue="1" operator="between">
      <formula>1500</formula>
      <formula>9999.99</formula>
    </cfRule>
  </conditionalFormatting>
  <conditionalFormatting sqref="H1:H1048576">
    <cfRule type="cellIs" dxfId="1163" priority="16" operator="equal">
      <formula>MAX($H:$H)</formula>
    </cfRule>
    <cfRule type="cellIs" dxfId="1162" priority="46" operator="equal">
      <formula>MIN($H:$H)</formula>
    </cfRule>
    <cfRule type="cellIs" dxfId="1161" priority="51" stopIfTrue="1" operator="between">
      <formula>0</formula>
      <formula>399.99</formula>
    </cfRule>
    <cfRule type="cellIs" dxfId="1160" priority="52" stopIfTrue="1" operator="between">
      <formula>400</formula>
      <formula>499.99</formula>
    </cfRule>
    <cfRule type="cellIs" dxfId="1159" priority="92" stopIfTrue="1" operator="between">
      <formula>500</formula>
      <formula>999.99</formula>
    </cfRule>
    <cfRule type="cellIs" dxfId="1158" priority="93" stopIfTrue="1" operator="between">
      <formula>1000</formula>
      <formula>1999.99</formula>
    </cfRule>
    <cfRule type="cellIs" dxfId="1157" priority="94" stopIfTrue="1" operator="between">
      <formula>2000</formula>
      <formula>9999</formula>
    </cfRule>
  </conditionalFormatting>
  <conditionalFormatting sqref="M1:N1 M12:N1048576 M11 M7:N10 M2:M6">
    <cfRule type="cellIs" dxfId="1156" priority="21" stopIfTrue="1" operator="equal">
      <formula>"Hunsrück"</formula>
    </cfRule>
    <cfRule type="cellIs" dxfId="1155" priority="22" stopIfTrue="1" operator="equal">
      <formula>"Fränkische Alb"</formula>
    </cfRule>
    <cfRule type="cellIs" dxfId="1154" priority="71" stopIfTrue="1" operator="equal">
      <formula>"Bayerischer Wald"</formula>
    </cfRule>
    <cfRule type="cellIs" dxfId="1153" priority="72" stopIfTrue="1" operator="equal">
      <formula>"Harz"</formula>
    </cfRule>
    <cfRule type="cellIs" dxfId="1152" priority="73" stopIfTrue="1" operator="equal">
      <formula>"Fichtelgebirge"</formula>
    </cfRule>
    <cfRule type="cellIs" dxfId="1151" priority="74" stopIfTrue="1" operator="equal">
      <formula>"Frankenwald"</formula>
    </cfRule>
    <cfRule type="cellIs" dxfId="1150" priority="75" stopIfTrue="1" operator="equal">
      <formula>"Thüringer Wald"</formula>
    </cfRule>
    <cfRule type="cellIs" dxfId="1149" priority="76" stopIfTrue="1" operator="equal">
      <formula>"Rothaargebirge"</formula>
    </cfRule>
    <cfRule type="cellIs" dxfId="1148" priority="77" stopIfTrue="1" operator="equal">
      <formula>"Schwäbische Alb"</formula>
    </cfRule>
    <cfRule type="cellIs" dxfId="1147" priority="78" stopIfTrue="1" operator="equal">
      <formula>"Alpen"</formula>
    </cfRule>
    <cfRule type="cellIs" dxfId="1146" priority="79" stopIfTrue="1" operator="equal">
      <formula>"Pfalz"</formula>
    </cfRule>
    <cfRule type="cellIs" dxfId="1145" priority="82" stopIfTrue="1" operator="equal">
      <formula>"Schwarzwald"</formula>
    </cfRule>
    <cfRule type="cellIs" dxfId="1144" priority="83" stopIfTrue="1" operator="equal">
      <formula>"Vogelsberg"</formula>
    </cfRule>
    <cfRule type="cellIs" dxfId="1143" priority="84" stopIfTrue="1" operator="equal">
      <formula>"Rhön"</formula>
    </cfRule>
    <cfRule type="cellIs" dxfId="1142" priority="85" stopIfTrue="1" operator="equal">
      <formula>"Schwarzwald"</formula>
    </cfRule>
    <cfRule type="cellIs" dxfId="1141" priority="86" stopIfTrue="1" operator="equal">
      <formula>"Taunus"</formula>
    </cfRule>
    <cfRule type="cellIs" dxfId="1140" priority="87" stopIfTrue="1" operator="equal">
      <formula>"Spessart"</formula>
    </cfRule>
    <cfRule type="cellIs" dxfId="1139" priority="88" stopIfTrue="1" operator="equal">
      <formula>"Odenwald"</formula>
    </cfRule>
  </conditionalFormatting>
  <conditionalFormatting sqref="G1:G1048576">
    <cfRule type="cellIs" dxfId="1138" priority="66" stopIfTrue="1" operator="between">
      <formula>0</formula>
      <formula>499.99</formula>
    </cfRule>
    <cfRule type="cellIs" dxfId="1137" priority="67" stopIfTrue="1" operator="between">
      <formula>500</formula>
      <formula>999.99</formula>
    </cfRule>
    <cfRule type="cellIs" dxfId="1136" priority="68" stopIfTrue="1" operator="between">
      <formula>1000</formula>
      <formula>1499.99</formula>
    </cfRule>
    <cfRule type="cellIs" dxfId="1135" priority="69" stopIfTrue="1" operator="between">
      <formula>1500</formula>
      <formula>9999.99</formula>
    </cfRule>
  </conditionalFormatting>
  <conditionalFormatting sqref="D1:D1048576">
    <cfRule type="cellIs" dxfId="1134" priority="59" operator="equal">
      <formula>MAX($D:$D)</formula>
    </cfRule>
    <cfRule type="cellIs" dxfId="1133" priority="60" operator="equal">
      <formula>MIN($D:$D)</formula>
    </cfRule>
  </conditionalFormatting>
  <conditionalFormatting sqref="E1:E1048576">
    <cfRule type="cellIs" dxfId="1132" priority="57" operator="equal">
      <formula>MAX($E:$E)</formula>
    </cfRule>
    <cfRule type="cellIs" dxfId="1131" priority="58" operator="equal">
      <formula>MIN($E:$E)</formula>
    </cfRule>
  </conditionalFormatting>
  <conditionalFormatting sqref="L1:L1048576">
    <cfRule type="cellIs" dxfId="1130" priority="23" operator="equal">
      <formula>MAX($L:$L)</formula>
    </cfRule>
    <cfRule type="cellIs" dxfId="1129" priority="36" stopIfTrue="1" operator="equal">
      <formula>0</formula>
    </cfRule>
    <cfRule type="cellIs" dxfId="1128" priority="37" stopIfTrue="1" operator="between">
      <formula>0.0001</formula>
      <formula>4.99</formula>
    </cfRule>
    <cfRule type="cellIs" dxfId="1127" priority="38" stopIfTrue="1" operator="between">
      <formula>5</formula>
      <formula>9.99</formula>
    </cfRule>
    <cfRule type="cellIs" dxfId="1126" priority="39" stopIfTrue="1" operator="between">
      <formula>10</formula>
      <formula>9999</formula>
    </cfRule>
  </conditionalFormatting>
  <conditionalFormatting sqref="K1:K1048576">
    <cfRule type="cellIs" dxfId="1125" priority="24" operator="equal">
      <formula>MAX($K:$K)</formula>
    </cfRule>
    <cfRule type="cellIs" dxfId="1124" priority="30" stopIfTrue="1" operator="equal">
      <formula>0</formula>
    </cfRule>
    <cfRule type="cellIs" dxfId="1123" priority="31" stopIfTrue="1" operator="between">
      <formula>0.0001</formula>
      <formula>99.99</formula>
    </cfRule>
    <cfRule type="cellIs" dxfId="1122" priority="32" stopIfTrue="1" operator="between">
      <formula>100</formula>
      <formula>199.99</formula>
    </cfRule>
    <cfRule type="cellIs" dxfId="1121" priority="33" stopIfTrue="1" operator="between">
      <formula>200</formula>
      <formula>9999</formula>
    </cfRule>
  </conditionalFormatting>
  <conditionalFormatting sqref="A1:A1048576">
    <cfRule type="expression" dxfId="1120" priority="25" stopIfTrue="1">
      <formula>K1="+Hm"</formula>
    </cfRule>
    <cfRule type="expression" dxfId="1119" priority="27" stopIfTrue="1">
      <formula>K1=0</formula>
    </cfRule>
    <cfRule type="expression" dxfId="1118" priority="29">
      <formula>K1&gt;0</formula>
    </cfRule>
  </conditionalFormatting>
  <conditionalFormatting sqref="O1:O1048576">
    <cfRule type="cellIs" dxfId="1117" priority="7" stopIfTrue="1" operator="equal">
      <formula>MIN($O:$O)</formula>
    </cfRule>
    <cfRule type="cellIs" dxfId="1116" priority="18" stopIfTrue="1" operator="equal">
      <formula>MAX($O:$O)</formula>
    </cfRule>
    <cfRule type="cellIs" dxfId="1115" priority="19" stopIfTrue="1" operator="between">
      <formula>11</formula>
      <formula>MAX(O:O)-1</formula>
    </cfRule>
    <cfRule type="cellIs" dxfId="1114" priority="20" stopIfTrue="1" operator="between">
      <formula>2</formula>
      <formula>10</formula>
    </cfRule>
  </conditionalFormatting>
  <conditionalFormatting sqref="J1:J1048576">
    <cfRule type="cellIs" dxfId="1113" priority="9" operator="equal">
      <formula>MAX($H:$H)</formula>
    </cfRule>
    <cfRule type="cellIs" dxfId="1112" priority="10" operator="equal">
      <formula>MIN($H:$H)</formula>
    </cfRule>
    <cfRule type="cellIs" dxfId="1111" priority="11" stopIfTrue="1" operator="between">
      <formula>0</formula>
      <formula>399.99</formula>
    </cfRule>
    <cfRule type="cellIs" dxfId="1110" priority="12" stopIfTrue="1" operator="between">
      <formula>400</formula>
      <formula>499.99</formula>
    </cfRule>
    <cfRule type="cellIs" dxfId="1109" priority="13" stopIfTrue="1" operator="between">
      <formula>500</formula>
      <formula>999.99</formula>
    </cfRule>
    <cfRule type="cellIs" dxfId="1108" priority="14" stopIfTrue="1" operator="between">
      <formula>1000</formula>
      <formula>1999.99</formula>
    </cfRule>
    <cfRule type="cellIs" dxfId="1107" priority="15" stopIfTrue="1" operator="between">
      <formula>2000</formula>
      <formula>9999</formula>
    </cfRule>
  </conditionalFormatting>
  <conditionalFormatting sqref="O1:O1048576">
    <cfRule type="cellIs" dxfId="1106" priority="8" stopIfTrue="1" operator="equal">
      <formula>2</formula>
    </cfRule>
    <cfRule type="cellIs" dxfId="1105" priority="17" stopIfTrue="1" operator="equal">
      <formula>MAX($O:$O)-1</formula>
    </cfRule>
  </conditionalFormatting>
  <conditionalFormatting sqref="B1">
    <cfRule type="cellIs" dxfId="1104" priority="1" stopIfTrue="1" operator="between">
      <formula>0</formula>
      <formula>399.99</formula>
    </cfRule>
    <cfRule type="cellIs" dxfId="1103" priority="2" stopIfTrue="1" operator="between">
      <formula>400</formula>
      <formula>449.99</formula>
    </cfRule>
    <cfRule type="cellIs" dxfId="1102" priority="3" stopIfTrue="1" operator="between">
      <formula>450</formula>
      <formula>499.99</formula>
    </cfRule>
    <cfRule type="cellIs" dxfId="1101" priority="4" stopIfTrue="1" operator="between">
      <formula>500</formula>
      <formula>549.99</formula>
    </cfRule>
    <cfRule type="cellIs" dxfId="1100" priority="5" stopIfTrue="1" operator="between">
      <formula>550</formula>
      <formula>599.99</formula>
    </cfRule>
  </conditionalFormatting>
  <conditionalFormatting sqref="B1">
    <cfRule type="cellIs" dxfId="1099" priority="6" stopIfTrue="1" operator="between">
      <formula>600</formula>
      <formula>9999.99</formula>
    </cfRule>
  </conditionalFormatting>
  <pageMargins left="0.7" right="0.7" top="0.78740157499999996" bottom="0.78740157499999996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499984740745262"/>
  </sheetPr>
  <dimension ref="A1:P138"/>
  <sheetViews>
    <sheetView zoomScaleNormal="100" workbookViewId="0">
      <pane xSplit="1" ySplit="3" topLeftCell="B4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.42578125" defaultRowHeight="12.75" outlineLevelRow="1" x14ac:dyDescent="0.2"/>
  <cols>
    <col min="1" max="1" width="38.140625" customWidth="1"/>
    <col min="2" max="2" width="9.28515625" style="2" customWidth="1"/>
    <col min="3" max="3" width="8.28515625" style="11" customWidth="1"/>
    <col min="4" max="4" width="10.28515625" style="12" customWidth="1"/>
    <col min="5" max="6" width="11.7109375" customWidth="1"/>
    <col min="7" max="7" width="8" customWidth="1"/>
    <col min="8" max="8" width="7.85546875" style="33" bestFit="1" customWidth="1"/>
    <col min="9" max="9" width="13.140625" style="18" customWidth="1"/>
    <col min="10" max="10" width="6.42578125" style="27" bestFit="1" customWidth="1"/>
    <col min="11" max="11" width="26.85546875" style="27" bestFit="1" customWidth="1"/>
    <col min="12" max="12" width="2.42578125" customWidth="1"/>
  </cols>
  <sheetData>
    <row r="1" spans="1:16" x14ac:dyDescent="0.2">
      <c r="A1" s="303" t="s">
        <v>127</v>
      </c>
      <c r="B1" s="67" t="s">
        <v>66</v>
      </c>
      <c r="C1" s="240" t="s">
        <v>67</v>
      </c>
      <c r="D1" s="239" t="s">
        <v>68</v>
      </c>
      <c r="E1" s="67" t="s">
        <v>69</v>
      </c>
      <c r="F1" s="67" t="s">
        <v>70</v>
      </c>
      <c r="G1" s="67" t="s">
        <v>320</v>
      </c>
      <c r="H1" s="238" t="s">
        <v>319</v>
      </c>
      <c r="I1" s="67" t="s">
        <v>318</v>
      </c>
      <c r="J1" s="67" t="s">
        <v>457</v>
      </c>
      <c r="K1" s="67" t="s">
        <v>576</v>
      </c>
      <c r="M1" s="393" t="s">
        <v>867</v>
      </c>
      <c r="N1" s="393"/>
      <c r="O1" s="393"/>
      <c r="P1" s="393"/>
    </row>
    <row r="2" spans="1:16" x14ac:dyDescent="0.2">
      <c r="A2" s="392" t="s">
        <v>400</v>
      </c>
      <c r="B2" s="392"/>
      <c r="C2" s="392"/>
      <c r="D2" s="392"/>
      <c r="E2" s="392"/>
      <c r="F2" s="392"/>
      <c r="G2" s="392"/>
      <c r="H2" s="392"/>
      <c r="I2" s="392"/>
      <c r="J2" s="392"/>
      <c r="K2" s="392"/>
      <c r="M2" s="62" t="s">
        <v>594</v>
      </c>
      <c r="N2" s="320">
        <f>MAX(G3:G991)</f>
        <v>2700</v>
      </c>
      <c r="O2" s="198" t="s">
        <v>595</v>
      </c>
      <c r="P2" s="321">
        <f>MAX(H3:H991)</f>
        <v>7880</v>
      </c>
    </row>
    <row r="3" spans="1:16" s="26" customFormat="1" x14ac:dyDescent="0.2">
      <c r="A3" s="43" t="s">
        <v>34</v>
      </c>
      <c r="B3" s="22" t="s">
        <v>0</v>
      </c>
      <c r="C3" s="232" t="s">
        <v>243</v>
      </c>
      <c r="D3" s="23" t="s">
        <v>242</v>
      </c>
      <c r="E3" s="21" t="s">
        <v>24</v>
      </c>
      <c r="F3" s="21" t="s">
        <v>1</v>
      </c>
      <c r="G3" s="21" t="s">
        <v>2</v>
      </c>
      <c r="H3" s="24" t="s">
        <v>3</v>
      </c>
      <c r="I3" s="21" t="s">
        <v>35</v>
      </c>
      <c r="J3" s="21" t="s">
        <v>36</v>
      </c>
      <c r="K3" s="26" t="s">
        <v>27</v>
      </c>
      <c r="L3" s="31"/>
      <c r="M3" s="62" t="s">
        <v>109</v>
      </c>
      <c r="N3" s="320">
        <f>MAX(F3:F991)</f>
        <v>2830</v>
      </c>
      <c r="O3" s="62" t="s">
        <v>596</v>
      </c>
      <c r="P3" s="322">
        <f>MAX(C3:C991)</f>
        <v>320.3</v>
      </c>
    </row>
    <row r="4" spans="1:16" ht="25.5" hidden="1" outlineLevel="1" x14ac:dyDescent="0.2">
      <c r="A4" s="1" t="s">
        <v>28</v>
      </c>
      <c r="B4" s="10">
        <v>0.20833333333333334</v>
      </c>
      <c r="C4" s="3">
        <v>44</v>
      </c>
      <c r="D4" s="4">
        <v>8.8000000000000007</v>
      </c>
      <c r="E4" s="8">
        <v>800</v>
      </c>
      <c r="F4" s="8">
        <v>2426</v>
      </c>
      <c r="G4" s="13">
        <v>2036</v>
      </c>
      <c r="H4" s="160" t="s">
        <v>6</v>
      </c>
      <c r="I4" s="28" t="s">
        <v>19</v>
      </c>
      <c r="J4" s="28"/>
      <c r="K4" s="30" t="s">
        <v>443</v>
      </c>
      <c r="M4" s="63"/>
    </row>
    <row r="5" spans="1:16" hidden="1" outlineLevel="1" x14ac:dyDescent="0.2">
      <c r="A5" s="1" t="s">
        <v>30</v>
      </c>
      <c r="B5" s="10">
        <v>0.125</v>
      </c>
      <c r="C5" s="3">
        <v>23</v>
      </c>
      <c r="D5" s="4">
        <v>7.7</v>
      </c>
      <c r="E5" s="8">
        <v>290</v>
      </c>
      <c r="F5" s="8">
        <v>1900</v>
      </c>
      <c r="G5" s="13">
        <v>1610</v>
      </c>
      <c r="H5" s="160" t="s">
        <v>6</v>
      </c>
      <c r="I5" s="28" t="s">
        <v>19</v>
      </c>
      <c r="J5" s="28"/>
      <c r="K5" s="27" t="s">
        <v>31</v>
      </c>
      <c r="M5" s="63"/>
    </row>
    <row r="6" spans="1:16" ht="25.5" hidden="1" outlineLevel="1" x14ac:dyDescent="0.2">
      <c r="A6" s="1" t="s">
        <v>26</v>
      </c>
      <c r="B6" s="2">
        <v>6.25E-2</v>
      </c>
      <c r="C6" s="11">
        <v>13</v>
      </c>
      <c r="D6" s="4">
        <v>8.6999999999999993</v>
      </c>
      <c r="E6" s="8">
        <v>1366</v>
      </c>
      <c r="F6" s="8">
        <v>1477</v>
      </c>
      <c r="G6" s="5">
        <v>300</v>
      </c>
      <c r="H6" s="160" t="s">
        <v>6</v>
      </c>
      <c r="I6" s="28" t="s">
        <v>19</v>
      </c>
      <c r="J6" s="28"/>
      <c r="K6" s="30" t="s">
        <v>29</v>
      </c>
      <c r="M6" s="63"/>
    </row>
    <row r="7" spans="1:16" hidden="1" outlineLevel="1" x14ac:dyDescent="0.2">
      <c r="A7" s="1" t="s">
        <v>23</v>
      </c>
      <c r="B7" s="2">
        <v>0.16666666666666666</v>
      </c>
      <c r="C7" s="11">
        <v>36</v>
      </c>
      <c r="D7" s="4">
        <v>9</v>
      </c>
      <c r="E7" s="8">
        <v>975</v>
      </c>
      <c r="F7" s="8">
        <v>1475</v>
      </c>
      <c r="G7" s="8">
        <v>750</v>
      </c>
      <c r="H7" s="160" t="s">
        <v>6</v>
      </c>
      <c r="I7" s="28" t="s">
        <v>19</v>
      </c>
      <c r="J7" s="28"/>
    </row>
    <row r="8" spans="1:16" hidden="1" outlineLevel="1" x14ac:dyDescent="0.2">
      <c r="A8" s="1" t="s">
        <v>25</v>
      </c>
      <c r="B8" s="2">
        <v>8.3333333333333329E-2</v>
      </c>
      <c r="C8" s="11">
        <v>17.899999999999999</v>
      </c>
      <c r="D8" s="4">
        <v>9</v>
      </c>
      <c r="E8" s="8">
        <v>600</v>
      </c>
      <c r="F8" s="8">
        <v>1230</v>
      </c>
      <c r="G8" s="8">
        <v>1230</v>
      </c>
      <c r="H8" s="160" t="s">
        <v>6</v>
      </c>
      <c r="I8" s="28" t="s">
        <v>19</v>
      </c>
      <c r="J8" s="28"/>
    </row>
    <row r="9" spans="1:16" ht="25.5" hidden="1" outlineLevel="1" x14ac:dyDescent="0.2">
      <c r="A9" s="1" t="s">
        <v>32</v>
      </c>
      <c r="B9" s="10">
        <v>0.125</v>
      </c>
      <c r="C9" s="3">
        <v>33</v>
      </c>
      <c r="D9" s="4">
        <v>11</v>
      </c>
      <c r="E9" s="13">
        <v>200</v>
      </c>
      <c r="F9" s="13">
        <v>1081</v>
      </c>
      <c r="G9" s="13">
        <v>1100</v>
      </c>
      <c r="H9" s="160" t="s">
        <v>6</v>
      </c>
      <c r="I9" s="28" t="s">
        <v>19</v>
      </c>
      <c r="J9" s="28"/>
      <c r="K9" s="30" t="s">
        <v>33</v>
      </c>
    </row>
    <row r="10" spans="1:16" s="1" customFormat="1" ht="13.5" collapsed="1" thickBot="1" x14ac:dyDescent="0.25">
      <c r="A10" s="34"/>
      <c r="B10" s="35">
        <f>SUM(B4:B9)</f>
        <v>0.77083333333333337</v>
      </c>
      <c r="C10" s="36">
        <f>SUM(C4:C9)</f>
        <v>166.9</v>
      </c>
      <c r="D10" s="37">
        <f>AVERAGE(D4:D9)</f>
        <v>9.0333333333333332</v>
      </c>
      <c r="E10" s="38">
        <f>MIN(E4:E9)</f>
        <v>200</v>
      </c>
      <c r="F10" s="38">
        <f>MAX(F4:F9)</f>
        <v>2426</v>
      </c>
      <c r="G10" s="39">
        <f>MAX(G4:G9)</f>
        <v>2036</v>
      </c>
      <c r="H10" s="163">
        <f>SUM(G4:G9)</f>
        <v>7026</v>
      </c>
      <c r="I10" s="40"/>
      <c r="J10" s="40"/>
      <c r="K10" s="31"/>
    </row>
    <row r="11" spans="1:16" ht="13.5" thickTop="1" x14ac:dyDescent="0.2">
      <c r="A11" s="15"/>
      <c r="B11" s="10"/>
      <c r="C11" s="14"/>
      <c r="D11" s="4"/>
      <c r="E11" s="13"/>
      <c r="F11" s="13"/>
      <c r="G11" s="13"/>
      <c r="H11" s="236"/>
      <c r="I11" s="19"/>
      <c r="J11" s="29"/>
    </row>
    <row r="12" spans="1:16" x14ac:dyDescent="0.2">
      <c r="A12" s="392" t="s">
        <v>232</v>
      </c>
      <c r="B12" s="392"/>
      <c r="C12" s="392"/>
      <c r="D12" s="392"/>
      <c r="E12" s="392"/>
      <c r="F12" s="392"/>
      <c r="G12" s="392"/>
      <c r="H12" s="392"/>
      <c r="I12" s="392"/>
      <c r="J12" s="392"/>
      <c r="K12" s="392"/>
    </row>
    <row r="13" spans="1:16" s="26" customFormat="1" x14ac:dyDescent="0.2">
      <c r="A13" s="44" t="s">
        <v>57</v>
      </c>
      <c r="B13" s="22" t="s">
        <v>0</v>
      </c>
      <c r="C13" s="232" t="s">
        <v>243</v>
      </c>
      <c r="D13" s="23" t="s">
        <v>242</v>
      </c>
      <c r="E13" s="21" t="s">
        <v>24</v>
      </c>
      <c r="F13" s="21" t="s">
        <v>1</v>
      </c>
      <c r="G13" s="21" t="s">
        <v>2</v>
      </c>
      <c r="H13" s="24" t="s">
        <v>3</v>
      </c>
      <c r="I13" s="25" t="s">
        <v>35</v>
      </c>
      <c r="J13" s="21" t="s">
        <v>36</v>
      </c>
      <c r="K13" s="26" t="s">
        <v>52</v>
      </c>
      <c r="L13" s="31"/>
    </row>
    <row r="14" spans="1:16" hidden="1" outlineLevel="1" x14ac:dyDescent="0.2">
      <c r="A14" s="1" t="s">
        <v>111</v>
      </c>
      <c r="B14" s="10">
        <v>0.17988425925925924</v>
      </c>
      <c r="C14" s="3">
        <v>55.6</v>
      </c>
      <c r="D14" s="4">
        <v>12.8</v>
      </c>
      <c r="E14" s="8">
        <v>660</v>
      </c>
      <c r="F14" s="8">
        <v>1782</v>
      </c>
      <c r="G14" s="13">
        <v>1555</v>
      </c>
      <c r="H14" s="160" t="s">
        <v>6</v>
      </c>
      <c r="I14" s="28" t="s">
        <v>19</v>
      </c>
      <c r="J14" s="28" t="s">
        <v>51</v>
      </c>
      <c r="K14" s="30"/>
    </row>
    <row r="15" spans="1:16" hidden="1" outlineLevel="1" x14ac:dyDescent="0.2">
      <c r="A15" s="1" t="s">
        <v>112</v>
      </c>
      <c r="B15" s="10">
        <v>0.16378472222222221</v>
      </c>
      <c r="C15" s="3">
        <v>60.96</v>
      </c>
      <c r="D15" s="4">
        <v>15.5</v>
      </c>
      <c r="E15" s="8">
        <v>500</v>
      </c>
      <c r="F15" s="8">
        <v>1250</v>
      </c>
      <c r="G15" s="13">
        <v>722</v>
      </c>
      <c r="H15" s="160" t="s">
        <v>6</v>
      </c>
      <c r="I15" s="28" t="s">
        <v>19</v>
      </c>
      <c r="J15" s="28" t="s">
        <v>51</v>
      </c>
    </row>
    <row r="16" spans="1:16" hidden="1" outlineLevel="1" x14ac:dyDescent="0.2">
      <c r="A16" s="1" t="s">
        <v>113</v>
      </c>
      <c r="B16" s="2">
        <v>3.9780092592592589E-2</v>
      </c>
      <c r="C16" s="11">
        <v>11.97</v>
      </c>
      <c r="D16" s="4">
        <v>12.5</v>
      </c>
      <c r="E16" s="8">
        <v>750</v>
      </c>
      <c r="F16" s="8">
        <v>1140</v>
      </c>
      <c r="G16" s="5">
        <v>390</v>
      </c>
      <c r="H16" s="160" t="s">
        <v>6</v>
      </c>
      <c r="I16" s="28" t="s">
        <v>63</v>
      </c>
      <c r="K16" s="30"/>
    </row>
    <row r="17" spans="1:12" hidden="1" outlineLevel="1" x14ac:dyDescent="0.2">
      <c r="A17" s="1" t="s">
        <v>114</v>
      </c>
      <c r="B17" s="2">
        <v>0.21548611111111113</v>
      </c>
      <c r="C17" s="11">
        <v>75.400000000000006</v>
      </c>
      <c r="D17" s="4">
        <v>14.5</v>
      </c>
      <c r="E17" s="8">
        <v>750</v>
      </c>
      <c r="F17" s="8">
        <v>1475</v>
      </c>
      <c r="G17" s="8">
        <v>1472</v>
      </c>
      <c r="H17" s="160" t="s">
        <v>6</v>
      </c>
      <c r="I17" s="28" t="s">
        <v>19</v>
      </c>
      <c r="J17" s="28" t="s">
        <v>51</v>
      </c>
    </row>
    <row r="18" spans="1:12" hidden="1" outlineLevel="1" x14ac:dyDescent="0.2">
      <c r="A18" s="1" t="s">
        <v>115</v>
      </c>
      <c r="B18" s="2">
        <v>0.1824537037037037</v>
      </c>
      <c r="C18" s="11">
        <v>84.11</v>
      </c>
      <c r="D18" s="4">
        <v>19.2</v>
      </c>
      <c r="E18" s="8">
        <v>660</v>
      </c>
      <c r="F18" s="8">
        <v>1221</v>
      </c>
      <c r="G18" s="8">
        <v>764</v>
      </c>
      <c r="H18" s="160" t="s">
        <v>6</v>
      </c>
      <c r="I18" s="28" t="s">
        <v>19</v>
      </c>
      <c r="J18" s="28" t="s">
        <v>19</v>
      </c>
      <c r="K18" s="28" t="s">
        <v>51</v>
      </c>
    </row>
    <row r="19" spans="1:12" s="1" customFormat="1" ht="13.5" collapsed="1" thickBot="1" x14ac:dyDescent="0.25">
      <c r="A19" s="34"/>
      <c r="B19" s="35">
        <f>SUM(B14:B18)</f>
        <v>0.78138888888888891</v>
      </c>
      <c r="C19" s="36">
        <f>SUM(C14:C18)</f>
        <v>288.04000000000002</v>
      </c>
      <c r="D19" s="37">
        <f>AVERAGE(D14:D18)</f>
        <v>14.9</v>
      </c>
      <c r="E19" s="38">
        <f>MIN(E14:E18)</f>
        <v>500</v>
      </c>
      <c r="F19" s="38">
        <f>MAX(F14:F18)</f>
        <v>1782</v>
      </c>
      <c r="G19" s="39">
        <f>MAX(G14:G18)</f>
        <v>1555</v>
      </c>
      <c r="H19" s="163">
        <f>SUM(G14:G18)</f>
        <v>4903</v>
      </c>
      <c r="I19" s="42"/>
      <c r="J19" s="40"/>
      <c r="K19" s="31"/>
    </row>
    <row r="20" spans="1:12" ht="13.5" thickTop="1" x14ac:dyDescent="0.2">
      <c r="A20" s="15"/>
      <c r="B20" s="10"/>
      <c r="C20" s="14"/>
      <c r="D20" s="4"/>
      <c r="E20" s="13"/>
      <c r="F20" s="13"/>
      <c r="G20" s="13"/>
      <c r="H20" s="236"/>
      <c r="I20" s="19"/>
      <c r="J20" s="29"/>
    </row>
    <row r="21" spans="1:12" x14ac:dyDescent="0.2">
      <c r="A21" s="392" t="s">
        <v>401</v>
      </c>
      <c r="B21" s="392"/>
      <c r="C21" s="392"/>
      <c r="D21" s="392"/>
      <c r="E21" s="392"/>
      <c r="F21" s="392"/>
      <c r="G21" s="392"/>
      <c r="H21" s="392"/>
      <c r="I21" s="392"/>
      <c r="J21" s="392"/>
      <c r="K21" s="392"/>
    </row>
    <row r="22" spans="1:12" s="26" customFormat="1" x14ac:dyDescent="0.2">
      <c r="A22" s="44"/>
      <c r="B22" s="22" t="s">
        <v>0</v>
      </c>
      <c r="C22" s="232" t="s">
        <v>243</v>
      </c>
      <c r="D22" s="23" t="s">
        <v>242</v>
      </c>
      <c r="E22" s="21" t="s">
        <v>24</v>
      </c>
      <c r="F22" s="21" t="s">
        <v>1</v>
      </c>
      <c r="G22" s="21" t="s">
        <v>2</v>
      </c>
      <c r="H22" s="24" t="s">
        <v>3</v>
      </c>
      <c r="I22" s="25" t="s">
        <v>35</v>
      </c>
      <c r="J22" s="21" t="s">
        <v>36</v>
      </c>
      <c r="K22" s="26" t="s">
        <v>52</v>
      </c>
      <c r="L22" s="31"/>
    </row>
    <row r="23" spans="1:12" hidden="1" outlineLevel="1" x14ac:dyDescent="0.2">
      <c r="A23" s="1" t="s">
        <v>346</v>
      </c>
      <c r="B23" s="10">
        <v>8.3333333333333329E-2</v>
      </c>
      <c r="C23" s="3">
        <v>30</v>
      </c>
      <c r="D23" s="4">
        <v>15</v>
      </c>
      <c r="E23" s="8">
        <v>0</v>
      </c>
      <c r="F23" s="8">
        <v>500</v>
      </c>
      <c r="G23" s="13">
        <v>600</v>
      </c>
      <c r="H23" s="160" t="s">
        <v>6</v>
      </c>
      <c r="I23" s="28" t="s">
        <v>19</v>
      </c>
      <c r="K23" s="45"/>
    </row>
    <row r="24" spans="1:12" hidden="1" outlineLevel="1" x14ac:dyDescent="0.2">
      <c r="A24" s="1" t="s">
        <v>116</v>
      </c>
      <c r="B24" s="10">
        <v>0.3666666666666667</v>
      </c>
      <c r="C24" s="3">
        <v>96.8</v>
      </c>
      <c r="D24" s="4">
        <v>11</v>
      </c>
      <c r="E24" s="8">
        <v>0</v>
      </c>
      <c r="F24" s="8">
        <v>1949</v>
      </c>
      <c r="G24" s="13">
        <v>2700</v>
      </c>
      <c r="H24" s="160" t="s">
        <v>6</v>
      </c>
      <c r="I24" s="176" t="s">
        <v>19</v>
      </c>
      <c r="J24" s="28" t="s">
        <v>19</v>
      </c>
      <c r="K24" s="28" t="s">
        <v>19</v>
      </c>
    </row>
    <row r="25" spans="1:12" hidden="1" outlineLevel="1" x14ac:dyDescent="0.2">
      <c r="A25" s="1" t="s">
        <v>125</v>
      </c>
      <c r="B25" s="10">
        <v>6.25E-2</v>
      </c>
      <c r="C25" s="3">
        <v>22</v>
      </c>
      <c r="D25" s="4">
        <v>14.7</v>
      </c>
      <c r="E25" s="8">
        <v>0</v>
      </c>
      <c r="F25" s="8">
        <v>475</v>
      </c>
      <c r="G25" s="13">
        <v>500</v>
      </c>
      <c r="H25" s="160" t="s">
        <v>6</v>
      </c>
      <c r="I25" s="28" t="s">
        <v>19</v>
      </c>
      <c r="K25" s="45"/>
    </row>
    <row r="26" spans="1:12" hidden="1" outlineLevel="1" x14ac:dyDescent="0.2">
      <c r="A26" s="1" t="s">
        <v>125</v>
      </c>
      <c r="B26" s="10">
        <v>6.25E-2</v>
      </c>
      <c r="C26" s="3">
        <v>22</v>
      </c>
      <c r="D26" s="4">
        <v>14.7</v>
      </c>
      <c r="E26" s="8">
        <v>0</v>
      </c>
      <c r="F26" s="8">
        <v>475</v>
      </c>
      <c r="G26" s="13">
        <v>500</v>
      </c>
      <c r="H26" s="160" t="s">
        <v>6</v>
      </c>
      <c r="I26" s="28" t="s">
        <v>19</v>
      </c>
      <c r="K26" s="45"/>
    </row>
    <row r="27" spans="1:12" hidden="1" outlineLevel="1" x14ac:dyDescent="0.2">
      <c r="A27" s="1" t="s">
        <v>125</v>
      </c>
      <c r="B27" s="10">
        <v>6.25E-2</v>
      </c>
      <c r="C27" s="3">
        <v>22</v>
      </c>
      <c r="D27" s="4">
        <v>14.7</v>
      </c>
      <c r="E27" s="8">
        <v>0</v>
      </c>
      <c r="F27" s="8">
        <v>475</v>
      </c>
      <c r="G27" s="13">
        <v>500</v>
      </c>
      <c r="H27" s="160" t="s">
        <v>6</v>
      </c>
      <c r="I27" s="28" t="s">
        <v>19</v>
      </c>
      <c r="K27" s="45"/>
    </row>
    <row r="28" spans="1:12" hidden="1" outlineLevel="1" x14ac:dyDescent="0.2">
      <c r="A28" s="1" t="s">
        <v>125</v>
      </c>
      <c r="B28" s="10">
        <v>6.25E-2</v>
      </c>
      <c r="C28" s="3">
        <v>22</v>
      </c>
      <c r="D28" s="4">
        <v>14.7</v>
      </c>
      <c r="E28" s="8">
        <v>0</v>
      </c>
      <c r="F28" s="8">
        <v>475</v>
      </c>
      <c r="G28" s="13">
        <v>500</v>
      </c>
      <c r="H28" s="160" t="s">
        <v>6</v>
      </c>
      <c r="I28" s="28" t="s">
        <v>19</v>
      </c>
      <c r="K28" s="45"/>
    </row>
    <row r="29" spans="1:12" s="1" customFormat="1" ht="13.5" collapsed="1" thickBot="1" x14ac:dyDescent="0.25">
      <c r="A29" s="34"/>
      <c r="B29" s="35">
        <f>SUM(B23:B28)</f>
        <v>0.7</v>
      </c>
      <c r="C29" s="36">
        <f>SUM(C23:C28)</f>
        <v>214.8</v>
      </c>
      <c r="D29" s="37">
        <f>AVERAGE(D23:D28)</f>
        <v>14.133333333333335</v>
      </c>
      <c r="E29" s="38">
        <f>MIN(E24:E24)</f>
        <v>0</v>
      </c>
      <c r="F29" s="38">
        <f>MAX(F23:F28)</f>
        <v>1949</v>
      </c>
      <c r="G29" s="39">
        <f>MAX(G23:G28)</f>
        <v>2700</v>
      </c>
      <c r="H29" s="163">
        <f>SUM(G23:G28)</f>
        <v>5300</v>
      </c>
      <c r="I29" s="28" t="s">
        <v>51</v>
      </c>
      <c r="J29" s="40"/>
    </row>
    <row r="30" spans="1:12" ht="13.5" thickTop="1" x14ac:dyDescent="0.2">
      <c r="A30" s="15"/>
      <c r="B30" s="10"/>
      <c r="C30" s="14"/>
      <c r="D30" s="4"/>
      <c r="E30" s="13"/>
      <c r="F30" s="13"/>
      <c r="G30" s="13"/>
      <c r="H30" s="236"/>
      <c r="I30" s="19"/>
      <c r="J30" s="29"/>
    </row>
    <row r="31" spans="1:12" x14ac:dyDescent="0.2">
      <c r="A31" s="392" t="s">
        <v>69</v>
      </c>
      <c r="B31" s="392"/>
      <c r="C31" s="392"/>
      <c r="D31" s="392"/>
      <c r="E31" s="392"/>
      <c r="F31" s="392"/>
      <c r="G31" s="392"/>
      <c r="H31" s="392"/>
      <c r="I31" s="392"/>
      <c r="J31" s="392"/>
      <c r="K31" s="392"/>
    </row>
    <row r="32" spans="1:12" s="26" customFormat="1" x14ac:dyDescent="0.2">
      <c r="A32" s="44"/>
      <c r="B32" s="22" t="s">
        <v>0</v>
      </c>
      <c r="C32" s="232" t="s">
        <v>243</v>
      </c>
      <c r="D32" s="23" t="s">
        <v>242</v>
      </c>
      <c r="E32" s="21" t="s">
        <v>24</v>
      </c>
      <c r="F32" s="21" t="s">
        <v>1</v>
      </c>
      <c r="G32" s="21" t="s">
        <v>2</v>
      </c>
      <c r="H32" s="24" t="s">
        <v>3</v>
      </c>
      <c r="I32" s="25" t="s">
        <v>35</v>
      </c>
      <c r="J32" s="21" t="s">
        <v>36</v>
      </c>
      <c r="K32" s="26" t="s">
        <v>52</v>
      </c>
      <c r="L32" s="31"/>
    </row>
    <row r="33" spans="1:12" hidden="1" outlineLevel="1" x14ac:dyDescent="0.2">
      <c r="A33" s="1" t="s">
        <v>117</v>
      </c>
      <c r="B33" s="10">
        <v>0.21388888888888891</v>
      </c>
      <c r="C33" s="3">
        <v>74.2</v>
      </c>
      <c r="D33" s="4">
        <v>14.5</v>
      </c>
      <c r="E33" s="8">
        <v>0</v>
      </c>
      <c r="F33" s="8">
        <v>744</v>
      </c>
      <c r="G33" s="13">
        <v>800</v>
      </c>
      <c r="H33" s="160" t="s">
        <v>6</v>
      </c>
      <c r="I33" s="7" t="s">
        <v>19</v>
      </c>
      <c r="J33" s="28"/>
      <c r="K33" s="30"/>
    </row>
    <row r="34" spans="1:12" s="1" customFormat="1" ht="13.5" collapsed="1" thickBot="1" x14ac:dyDescent="0.25">
      <c r="A34" s="34"/>
      <c r="B34" s="35">
        <f>SUM(B33:B33)</f>
        <v>0.21388888888888891</v>
      </c>
      <c r="C34" s="36">
        <f>SUM(C33:C33)</f>
        <v>74.2</v>
      </c>
      <c r="D34" s="37">
        <f>AVERAGE(D33)</f>
        <v>14.5</v>
      </c>
      <c r="E34" s="38">
        <f>MIN(E33:E33)</f>
        <v>0</v>
      </c>
      <c r="F34" s="38">
        <f>MAX(F33:F33)</f>
        <v>744</v>
      </c>
      <c r="G34" s="39">
        <f>MAX(G33:G33)</f>
        <v>800</v>
      </c>
      <c r="H34" s="163">
        <f>SUM(G33)</f>
        <v>800</v>
      </c>
      <c r="I34" s="42"/>
      <c r="J34" s="40"/>
      <c r="K34" s="31"/>
    </row>
    <row r="35" spans="1:12" ht="13.5" thickTop="1" x14ac:dyDescent="0.2"/>
    <row r="36" spans="1:12" x14ac:dyDescent="0.2">
      <c r="A36" s="392" t="s">
        <v>70</v>
      </c>
      <c r="B36" s="392"/>
      <c r="C36" s="392"/>
      <c r="D36" s="392"/>
      <c r="E36" s="392"/>
      <c r="F36" s="392"/>
      <c r="G36" s="392"/>
      <c r="H36" s="392"/>
      <c r="I36" s="392"/>
      <c r="J36" s="392"/>
      <c r="K36" s="392"/>
    </row>
    <row r="37" spans="1:12" s="26" customFormat="1" x14ac:dyDescent="0.2">
      <c r="A37" s="44"/>
      <c r="B37" s="22" t="s">
        <v>0</v>
      </c>
      <c r="C37" s="232" t="s">
        <v>243</v>
      </c>
      <c r="D37" s="23" t="s">
        <v>242</v>
      </c>
      <c r="E37" s="21" t="s">
        <v>24</v>
      </c>
      <c r="F37" s="21" t="s">
        <v>1</v>
      </c>
      <c r="G37" s="21" t="s">
        <v>2</v>
      </c>
      <c r="H37" s="24" t="s">
        <v>3</v>
      </c>
      <c r="I37" s="25" t="s">
        <v>35</v>
      </c>
      <c r="J37" s="21" t="s">
        <v>36</v>
      </c>
      <c r="K37" s="26" t="s">
        <v>52</v>
      </c>
      <c r="L37" s="31"/>
    </row>
    <row r="38" spans="1:12" hidden="1" outlineLevel="1" x14ac:dyDescent="0.2">
      <c r="A38" s="1" t="s">
        <v>118</v>
      </c>
      <c r="B38" s="10">
        <v>0.20833333333333334</v>
      </c>
      <c r="C38" s="3">
        <v>60</v>
      </c>
      <c r="D38" s="4">
        <v>12</v>
      </c>
      <c r="E38" s="8">
        <v>66</v>
      </c>
      <c r="F38" s="8">
        <v>1880</v>
      </c>
      <c r="G38" s="13">
        <v>2270</v>
      </c>
      <c r="H38" s="160" t="s">
        <v>6</v>
      </c>
      <c r="I38" s="7" t="s">
        <v>51</v>
      </c>
      <c r="J38" s="28"/>
      <c r="K38" s="45"/>
    </row>
    <row r="39" spans="1:12" hidden="1" outlineLevel="1" x14ac:dyDescent="0.2">
      <c r="A39" s="1" t="s">
        <v>119</v>
      </c>
      <c r="B39" s="10">
        <v>0.20833333333333334</v>
      </c>
      <c r="C39" s="3">
        <v>60</v>
      </c>
      <c r="D39" s="4">
        <v>12</v>
      </c>
      <c r="E39" s="8">
        <v>66</v>
      </c>
      <c r="F39" s="8">
        <v>2079</v>
      </c>
      <c r="G39" s="13">
        <v>2013</v>
      </c>
      <c r="H39" s="160" t="s">
        <v>6</v>
      </c>
      <c r="I39" s="7" t="s">
        <v>51</v>
      </c>
      <c r="J39" s="28"/>
      <c r="K39" s="30"/>
    </row>
    <row r="40" spans="1:12" s="1" customFormat="1" ht="13.5" collapsed="1" thickBot="1" x14ac:dyDescent="0.25">
      <c r="A40" s="34"/>
      <c r="B40" s="35">
        <f>SUM(B38:B39)</f>
        <v>0.41666666666666669</v>
      </c>
      <c r="C40" s="36">
        <f>SUM(C38:C39)</f>
        <v>120</v>
      </c>
      <c r="D40" s="37">
        <f>AVERAGE(D38:D39)</f>
        <v>12</v>
      </c>
      <c r="E40" s="38">
        <f>MIN(E38:E39)</f>
        <v>66</v>
      </c>
      <c r="F40" s="38">
        <f>MAX(F38:F39)</f>
        <v>2079</v>
      </c>
      <c r="G40" s="39">
        <f>MAX(G38:G39)</f>
        <v>2270</v>
      </c>
      <c r="H40" s="163">
        <f>SUM(G38:G39)</f>
        <v>4283</v>
      </c>
      <c r="I40" s="42"/>
      <c r="J40" s="40"/>
      <c r="K40" s="31"/>
    </row>
    <row r="41" spans="1:12" ht="13.5" thickTop="1" x14ac:dyDescent="0.2"/>
    <row r="42" spans="1:12" x14ac:dyDescent="0.2">
      <c r="A42" s="392" t="s">
        <v>226</v>
      </c>
      <c r="B42" s="392"/>
      <c r="C42" s="392"/>
      <c r="D42" s="392"/>
      <c r="E42" s="392"/>
      <c r="F42" s="392"/>
      <c r="G42" s="392"/>
      <c r="H42" s="392"/>
      <c r="I42" s="392"/>
      <c r="J42" s="392"/>
      <c r="K42" s="392"/>
    </row>
    <row r="43" spans="1:12" x14ac:dyDescent="0.2">
      <c r="A43" s="44"/>
      <c r="B43" s="22" t="s">
        <v>0</v>
      </c>
      <c r="C43" s="232" t="s">
        <v>243</v>
      </c>
      <c r="D43" s="23" t="s">
        <v>242</v>
      </c>
      <c r="E43" s="21" t="s">
        <v>24</v>
      </c>
      <c r="F43" s="21" t="s">
        <v>1</v>
      </c>
      <c r="G43" s="21" t="s">
        <v>2</v>
      </c>
      <c r="H43" s="24" t="s">
        <v>3</v>
      </c>
      <c r="I43" s="25" t="s">
        <v>35</v>
      </c>
      <c r="J43" s="21" t="s">
        <v>36</v>
      </c>
      <c r="K43" s="26" t="s">
        <v>52</v>
      </c>
    </row>
    <row r="44" spans="1:12" hidden="1" outlineLevel="1" x14ac:dyDescent="0.2">
      <c r="A44" s="1" t="s">
        <v>121</v>
      </c>
      <c r="B44" s="10">
        <v>0.12847222222222224</v>
      </c>
      <c r="C44" s="3">
        <v>31</v>
      </c>
      <c r="D44" s="4">
        <v>10.1</v>
      </c>
      <c r="E44" s="8">
        <v>1078</v>
      </c>
      <c r="F44" s="8">
        <v>1530</v>
      </c>
      <c r="G44" s="13">
        <v>885</v>
      </c>
      <c r="H44" s="160" t="s">
        <v>6</v>
      </c>
      <c r="I44" s="28" t="s">
        <v>19</v>
      </c>
      <c r="J44" s="28"/>
      <c r="K44" s="30"/>
    </row>
    <row r="45" spans="1:12" hidden="1" outlineLevel="1" x14ac:dyDescent="0.2">
      <c r="A45" s="1" t="s">
        <v>120</v>
      </c>
      <c r="B45" s="10">
        <v>0.16597222222222222</v>
      </c>
      <c r="C45" s="3">
        <v>33</v>
      </c>
      <c r="D45" s="4">
        <v>8.3000000000000007</v>
      </c>
      <c r="E45" s="8">
        <v>1040</v>
      </c>
      <c r="F45" s="8">
        <v>1418</v>
      </c>
      <c r="G45" s="13">
        <v>655</v>
      </c>
      <c r="H45" s="160" t="s">
        <v>6</v>
      </c>
      <c r="I45" s="28" t="s">
        <v>19</v>
      </c>
      <c r="J45" s="28"/>
    </row>
    <row r="46" spans="1:12" hidden="1" outlineLevel="1" x14ac:dyDescent="0.2">
      <c r="A46" s="1" t="s">
        <v>124</v>
      </c>
      <c r="B46" s="2">
        <v>2.6388888888888889E-2</v>
      </c>
      <c r="C46" s="11">
        <v>5.6</v>
      </c>
      <c r="D46" s="4">
        <v>8.8000000000000007</v>
      </c>
      <c r="E46" s="8">
        <v>696</v>
      </c>
      <c r="F46" s="8">
        <v>820</v>
      </c>
      <c r="G46" s="5">
        <v>124</v>
      </c>
      <c r="H46" s="160" t="s">
        <v>6</v>
      </c>
      <c r="I46" s="28"/>
      <c r="J46" s="28"/>
      <c r="K46" s="30"/>
    </row>
    <row r="47" spans="1:12" hidden="1" outlineLevel="1" x14ac:dyDescent="0.2">
      <c r="A47" s="1" t="s">
        <v>122</v>
      </c>
      <c r="B47" s="2">
        <v>0.1076388888888889</v>
      </c>
      <c r="C47" s="11">
        <v>39.200000000000003</v>
      </c>
      <c r="D47" s="4">
        <v>15.2</v>
      </c>
      <c r="E47" s="8">
        <v>300</v>
      </c>
      <c r="F47" s="8">
        <v>1400</v>
      </c>
      <c r="G47" s="8">
        <v>1100</v>
      </c>
      <c r="H47" s="160" t="s">
        <v>6</v>
      </c>
      <c r="I47" s="28"/>
      <c r="J47" s="28"/>
    </row>
    <row r="48" spans="1:12" hidden="1" outlineLevel="1" x14ac:dyDescent="0.2">
      <c r="A48" s="1" t="s">
        <v>123</v>
      </c>
      <c r="B48" s="2">
        <v>0.16458333333333333</v>
      </c>
      <c r="C48" s="11">
        <v>57</v>
      </c>
      <c r="D48" s="4">
        <v>14.4</v>
      </c>
      <c r="E48" s="8">
        <v>300</v>
      </c>
      <c r="F48" s="8">
        <v>2050</v>
      </c>
      <c r="G48" s="8">
        <v>1750</v>
      </c>
      <c r="H48" s="160" t="s">
        <v>6</v>
      </c>
      <c r="I48" s="28"/>
      <c r="J48" s="28"/>
      <c r="K48" s="28"/>
    </row>
    <row r="49" spans="1:11" ht="13.5" collapsed="1" thickBot="1" x14ac:dyDescent="0.25">
      <c r="A49" s="34"/>
      <c r="B49" s="35">
        <f>SUM(B44:B48)</f>
        <v>0.59305555555555556</v>
      </c>
      <c r="C49" s="36">
        <f>SUM(C44:C48)</f>
        <v>165.8</v>
      </c>
      <c r="D49" s="37">
        <f>AVERAGE(D44:D48)</f>
        <v>11.36</v>
      </c>
      <c r="E49" s="38">
        <f>MIN(E44:E48)</f>
        <v>300</v>
      </c>
      <c r="F49" s="38">
        <f>MAX(F44:F48)</f>
        <v>2050</v>
      </c>
      <c r="G49" s="39">
        <f>MAX(G44:G48)</f>
        <v>1750</v>
      </c>
      <c r="H49" s="163">
        <f>SUM(G44:G48)</f>
        <v>4514</v>
      </c>
      <c r="I49" s="42"/>
      <c r="J49" s="40"/>
      <c r="K49" s="31"/>
    </row>
    <row r="50" spans="1:11" ht="13.5" thickTop="1" x14ac:dyDescent="0.2"/>
    <row r="51" spans="1:11" x14ac:dyDescent="0.2">
      <c r="A51" s="392" t="s">
        <v>227</v>
      </c>
      <c r="B51" s="392"/>
      <c r="C51" s="392"/>
      <c r="D51" s="392"/>
      <c r="E51" s="392"/>
      <c r="F51" s="392"/>
      <c r="G51" s="392"/>
      <c r="H51" s="392"/>
      <c r="I51" s="392"/>
      <c r="J51" s="392"/>
      <c r="K51" s="392"/>
    </row>
    <row r="52" spans="1:11" x14ac:dyDescent="0.2">
      <c r="A52" s="44"/>
      <c r="B52" s="22" t="s">
        <v>0</v>
      </c>
      <c r="C52" s="232" t="s">
        <v>243</v>
      </c>
      <c r="D52" s="23" t="s">
        <v>242</v>
      </c>
      <c r="E52" s="21" t="s">
        <v>24</v>
      </c>
      <c r="F52" s="21" t="s">
        <v>1</v>
      </c>
      <c r="G52" s="21" t="s">
        <v>2</v>
      </c>
      <c r="H52" s="24" t="s">
        <v>3</v>
      </c>
      <c r="I52" s="25" t="s">
        <v>35</v>
      </c>
      <c r="J52" s="21" t="s">
        <v>36</v>
      </c>
      <c r="K52" s="26" t="s">
        <v>52</v>
      </c>
    </row>
    <row r="53" spans="1:11" hidden="1" outlineLevel="1" x14ac:dyDescent="0.2">
      <c r="A53" s="1" t="s">
        <v>228</v>
      </c>
      <c r="B53" s="10">
        <v>0.13541666666666666</v>
      </c>
      <c r="C53" s="3">
        <v>25</v>
      </c>
      <c r="D53" s="12">
        <f>C53*stat!$E$22/B53</f>
        <v>7.6923076923076916</v>
      </c>
      <c r="E53" s="8">
        <v>1585</v>
      </c>
      <c r="F53" s="8">
        <v>1835</v>
      </c>
      <c r="G53" s="13">
        <v>605</v>
      </c>
      <c r="H53" s="160" t="s">
        <v>6</v>
      </c>
      <c r="I53" s="28"/>
      <c r="J53" s="28"/>
      <c r="K53" s="30"/>
    </row>
    <row r="54" spans="1:11" hidden="1" outlineLevel="1" x14ac:dyDescent="0.2">
      <c r="A54" s="1" t="s">
        <v>229</v>
      </c>
      <c r="B54" s="10">
        <v>0.125</v>
      </c>
      <c r="C54" s="3">
        <v>24</v>
      </c>
      <c r="D54" s="12">
        <f>C54*stat!$E$22/B54</f>
        <v>8</v>
      </c>
      <c r="E54" s="8">
        <v>1890</v>
      </c>
      <c r="F54" s="8">
        <v>2315</v>
      </c>
      <c r="G54" s="13">
        <v>560</v>
      </c>
      <c r="H54" s="160" t="s">
        <v>6</v>
      </c>
      <c r="I54" s="28" t="s">
        <v>19</v>
      </c>
      <c r="J54" s="28" t="s">
        <v>19</v>
      </c>
      <c r="K54" s="28" t="s">
        <v>19</v>
      </c>
    </row>
    <row r="55" spans="1:11" hidden="1" outlineLevel="1" x14ac:dyDescent="0.2">
      <c r="A55" s="1" t="s">
        <v>230</v>
      </c>
      <c r="B55" s="2">
        <v>0.20833333333333334</v>
      </c>
      <c r="C55" s="11">
        <v>30</v>
      </c>
      <c r="D55" s="12">
        <f>C55*stat!$E$22/B55</f>
        <v>6</v>
      </c>
      <c r="E55" s="8">
        <v>1000</v>
      </c>
      <c r="F55" s="8">
        <v>2203</v>
      </c>
      <c r="G55" s="5">
        <v>1235</v>
      </c>
      <c r="H55" s="160" t="s">
        <v>6</v>
      </c>
      <c r="I55" s="28" t="s">
        <v>19</v>
      </c>
      <c r="J55" s="28"/>
      <c r="K55" s="30"/>
    </row>
    <row r="56" spans="1:11" hidden="1" outlineLevel="1" x14ac:dyDescent="0.2">
      <c r="A56" s="1" t="s">
        <v>231</v>
      </c>
      <c r="B56" s="2">
        <v>4.2361111111111106E-2</v>
      </c>
      <c r="C56" s="11">
        <v>5.0999999999999996</v>
      </c>
      <c r="D56" s="12">
        <f>C56*stat!$E$22/B56</f>
        <v>5.0163934426229506</v>
      </c>
      <c r="E56" s="8">
        <v>1870</v>
      </c>
      <c r="F56" s="8">
        <v>2103</v>
      </c>
      <c r="G56" s="8">
        <v>270</v>
      </c>
      <c r="H56" s="160" t="s">
        <v>6</v>
      </c>
      <c r="I56" s="28" t="s">
        <v>19</v>
      </c>
      <c r="J56" s="28" t="s">
        <v>19</v>
      </c>
      <c r="K56" s="28" t="s">
        <v>19</v>
      </c>
    </row>
    <row r="57" spans="1:11" ht="13.5" collapsed="1" thickBot="1" x14ac:dyDescent="0.25">
      <c r="A57" s="34"/>
      <c r="B57" s="35">
        <f>SUM(B53:B56)</f>
        <v>0.51111111111111107</v>
      </c>
      <c r="C57" s="36">
        <f>SUM(C53:C56)</f>
        <v>84.1</v>
      </c>
      <c r="D57" s="37">
        <f>AVERAGE(D53:D56)</f>
        <v>6.6771752837326606</v>
      </c>
      <c r="E57" s="38">
        <f>MIN(E53:E56)</f>
        <v>1000</v>
      </c>
      <c r="F57" s="38">
        <f>MAX(F53:F56)</f>
        <v>2315</v>
      </c>
      <c r="G57" s="39">
        <f>MAX(G53:G56)</f>
        <v>1235</v>
      </c>
      <c r="H57" s="163">
        <f>SUM(G53:G56)</f>
        <v>2670</v>
      </c>
      <c r="I57" s="42"/>
      <c r="J57" s="40"/>
      <c r="K57" s="31"/>
    </row>
    <row r="58" spans="1:11" ht="13.5" thickTop="1" x14ac:dyDescent="0.2"/>
    <row r="59" spans="1:11" x14ac:dyDescent="0.2">
      <c r="A59" s="392" t="s">
        <v>317</v>
      </c>
      <c r="B59" s="392"/>
      <c r="C59" s="392"/>
      <c r="D59" s="392"/>
      <c r="E59" s="392"/>
      <c r="F59" s="392"/>
      <c r="G59" s="392"/>
      <c r="H59" s="392"/>
      <c r="I59" s="392"/>
      <c r="J59" s="392"/>
      <c r="K59" s="392"/>
    </row>
    <row r="60" spans="1:11" x14ac:dyDescent="0.2">
      <c r="A60" s="44"/>
      <c r="B60" s="22" t="s">
        <v>0</v>
      </c>
      <c r="C60" s="232" t="s">
        <v>243</v>
      </c>
      <c r="D60" s="23" t="s">
        <v>242</v>
      </c>
      <c r="E60" s="21" t="s">
        <v>24</v>
      </c>
      <c r="F60" s="21" t="s">
        <v>1</v>
      </c>
      <c r="G60" s="21" t="s">
        <v>2</v>
      </c>
      <c r="H60" s="24" t="s">
        <v>3</v>
      </c>
      <c r="I60" s="25" t="s">
        <v>35</v>
      </c>
      <c r="J60" s="21" t="s">
        <v>36</v>
      </c>
      <c r="K60" s="26" t="s">
        <v>52</v>
      </c>
    </row>
    <row r="61" spans="1:11" hidden="1" outlineLevel="1" x14ac:dyDescent="0.2">
      <c r="A61" s="1" t="s">
        <v>121</v>
      </c>
      <c r="B61" s="10">
        <v>9.375E-2</v>
      </c>
      <c r="C61" s="3">
        <v>26</v>
      </c>
      <c r="D61" s="12">
        <f>C61*stat!$E$22/B61</f>
        <v>11.555555555555555</v>
      </c>
      <c r="E61" s="8">
        <v>1078</v>
      </c>
      <c r="F61" s="8">
        <v>1530</v>
      </c>
      <c r="G61" s="13">
        <v>840</v>
      </c>
      <c r="H61" s="160" t="s">
        <v>6</v>
      </c>
      <c r="I61" s="28" t="s">
        <v>19</v>
      </c>
      <c r="J61" s="28"/>
      <c r="K61" s="30"/>
    </row>
    <row r="62" spans="1:11" hidden="1" outlineLevel="1" x14ac:dyDescent="0.2">
      <c r="A62" s="1" t="s">
        <v>321</v>
      </c>
      <c r="B62" s="10">
        <v>3.125E-2</v>
      </c>
      <c r="C62" s="3">
        <v>5</v>
      </c>
      <c r="D62" s="12">
        <f>C62*stat!$E$22/B62</f>
        <v>6.6666666666666661</v>
      </c>
      <c r="E62" s="8">
        <v>1115</v>
      </c>
      <c r="F62" s="8">
        <v>1354</v>
      </c>
      <c r="G62" s="13">
        <v>260</v>
      </c>
      <c r="H62" s="160" t="s">
        <v>6</v>
      </c>
      <c r="I62" s="28" t="s">
        <v>19</v>
      </c>
      <c r="J62" s="28"/>
    </row>
    <row r="63" spans="1:11" hidden="1" outlineLevel="1" x14ac:dyDescent="0.2">
      <c r="A63" s="1" t="s">
        <v>324</v>
      </c>
      <c r="B63" s="2">
        <v>0.11458333333333333</v>
      </c>
      <c r="C63" s="11">
        <v>23</v>
      </c>
      <c r="D63" s="12">
        <f>C63*stat!$E$22/B63</f>
        <v>8.3636363636363633</v>
      </c>
      <c r="E63" s="8">
        <v>2250</v>
      </c>
      <c r="F63" s="8">
        <v>2416</v>
      </c>
      <c r="G63" s="5">
        <v>420</v>
      </c>
      <c r="H63" s="160" t="s">
        <v>6</v>
      </c>
      <c r="I63" s="28" t="s">
        <v>19</v>
      </c>
      <c r="J63" s="28" t="s">
        <v>19</v>
      </c>
      <c r="K63" s="30"/>
    </row>
    <row r="64" spans="1:11" hidden="1" outlineLevel="1" x14ac:dyDescent="0.2">
      <c r="A64" s="1" t="s">
        <v>230</v>
      </c>
      <c r="B64" s="2">
        <v>6.25E-2</v>
      </c>
      <c r="C64" s="11">
        <v>20.399999999999999</v>
      </c>
      <c r="D64" s="12">
        <f>C64*stat!$E$22/B64</f>
        <v>13.599999999999998</v>
      </c>
      <c r="E64" s="8">
        <v>1500</v>
      </c>
      <c r="F64" s="8">
        <v>2203</v>
      </c>
      <c r="G64" s="8">
        <v>703</v>
      </c>
      <c r="H64" s="160" t="s">
        <v>6</v>
      </c>
      <c r="I64" s="28" t="s">
        <v>19</v>
      </c>
      <c r="J64" s="28"/>
    </row>
    <row r="65" spans="1:11" hidden="1" outlineLevel="1" x14ac:dyDescent="0.2">
      <c r="A65" s="1" t="s">
        <v>322</v>
      </c>
      <c r="B65" s="10">
        <v>7.2916666666666671E-2</v>
      </c>
      <c r="C65" s="3">
        <v>20</v>
      </c>
      <c r="D65" s="12">
        <f>C65*stat!$E$22/B65</f>
        <v>11.428571428571427</v>
      </c>
      <c r="E65" s="8">
        <v>1052</v>
      </c>
      <c r="F65" s="8">
        <v>1415</v>
      </c>
      <c r="G65" s="13">
        <v>410</v>
      </c>
      <c r="H65" s="160" t="s">
        <v>6</v>
      </c>
      <c r="I65" s="28" t="s">
        <v>19</v>
      </c>
      <c r="J65" s="28" t="s">
        <v>19</v>
      </c>
    </row>
    <row r="66" spans="1:11" hidden="1" outlineLevel="1" x14ac:dyDescent="0.2">
      <c r="A66" s="1" t="s">
        <v>323</v>
      </c>
      <c r="B66" s="10">
        <v>4.8611111111111112E-2</v>
      </c>
      <c r="C66" s="3">
        <v>18.399999999999999</v>
      </c>
      <c r="D66" s="12">
        <f>C66*stat!$E$22/B66</f>
        <v>15.77142857142857</v>
      </c>
      <c r="E66" s="8">
        <v>1165</v>
      </c>
      <c r="F66" s="8">
        <v>1749</v>
      </c>
      <c r="G66" s="13">
        <v>580</v>
      </c>
      <c r="H66" s="160" t="s">
        <v>6</v>
      </c>
      <c r="I66" s="28" t="s">
        <v>19</v>
      </c>
      <c r="J66" s="28"/>
    </row>
    <row r="67" spans="1:11" hidden="1" outlineLevel="1" x14ac:dyDescent="0.2">
      <c r="A67" s="1" t="s">
        <v>120</v>
      </c>
      <c r="B67" s="2">
        <v>0.11805555555555557</v>
      </c>
      <c r="C67" s="11">
        <v>26</v>
      </c>
      <c r="D67" s="12">
        <f>C67*stat!$E$22/B67</f>
        <v>9.1764705882352935</v>
      </c>
      <c r="E67" s="8">
        <v>1050</v>
      </c>
      <c r="F67" s="8">
        <v>1510</v>
      </c>
      <c r="G67" s="5">
        <v>550</v>
      </c>
      <c r="H67" s="160" t="s">
        <v>6</v>
      </c>
      <c r="I67" s="28" t="s">
        <v>19</v>
      </c>
      <c r="J67" s="28"/>
    </row>
    <row r="68" spans="1:11" hidden="1" outlineLevel="1" x14ac:dyDescent="0.2">
      <c r="A68" s="1" t="s">
        <v>325</v>
      </c>
      <c r="B68" s="2">
        <v>0.10416666666666667</v>
      </c>
      <c r="C68" s="11">
        <v>34.6</v>
      </c>
      <c r="D68" s="12">
        <f>C68*stat!$E$22/B68</f>
        <v>13.84</v>
      </c>
      <c r="E68" s="8">
        <v>1150</v>
      </c>
      <c r="F68" s="8">
        <v>2090</v>
      </c>
      <c r="G68" s="8">
        <v>940</v>
      </c>
      <c r="H68" s="160" t="s">
        <v>6</v>
      </c>
      <c r="I68" s="28" t="s">
        <v>19</v>
      </c>
      <c r="J68" s="28"/>
    </row>
    <row r="69" spans="1:11" ht="13.5" collapsed="1" thickBot="1" x14ac:dyDescent="0.25">
      <c r="A69" s="34"/>
      <c r="B69" s="35">
        <f>SUM(B61:B68)</f>
        <v>0.64583333333333326</v>
      </c>
      <c r="C69" s="36">
        <f>SUM(C61:C68)</f>
        <v>173.4</v>
      </c>
      <c r="D69" s="37">
        <f>AVERAGE(D61:D68)</f>
        <v>11.300291146761735</v>
      </c>
      <c r="E69" s="38">
        <f>MIN(E61:E68)</f>
        <v>1050</v>
      </c>
      <c r="F69" s="38">
        <f>MAX(F61:F68)</f>
        <v>2416</v>
      </c>
      <c r="G69" s="39">
        <f>MAX(G61:G68)</f>
        <v>940</v>
      </c>
      <c r="H69" s="163">
        <f>SUM(G61:G68)</f>
        <v>4703</v>
      </c>
      <c r="I69" s="42"/>
      <c r="J69" s="40"/>
      <c r="K69" s="31"/>
    </row>
    <row r="70" spans="1:11" ht="13.5" thickTop="1" x14ac:dyDescent="0.2"/>
    <row r="71" spans="1:11" x14ac:dyDescent="0.2">
      <c r="A71" s="392" t="s">
        <v>452</v>
      </c>
      <c r="B71" s="392"/>
      <c r="C71" s="392"/>
      <c r="D71" s="392"/>
      <c r="E71" s="392"/>
      <c r="F71" s="392"/>
      <c r="G71" s="392"/>
      <c r="H71" s="392"/>
      <c r="I71" s="392"/>
      <c r="J71" s="392"/>
      <c r="K71" s="392"/>
    </row>
    <row r="72" spans="1:11" x14ac:dyDescent="0.2">
      <c r="A72" s="44"/>
      <c r="B72" s="22" t="s">
        <v>0</v>
      </c>
      <c r="C72" s="232" t="s">
        <v>243</v>
      </c>
      <c r="D72" s="23" t="s">
        <v>242</v>
      </c>
      <c r="E72" s="21" t="s">
        <v>24</v>
      </c>
      <c r="F72" s="21" t="s">
        <v>1</v>
      </c>
      <c r="G72" s="21" t="s">
        <v>2</v>
      </c>
      <c r="H72" s="24" t="s">
        <v>3</v>
      </c>
      <c r="I72" s="25" t="s">
        <v>35</v>
      </c>
      <c r="J72" s="21" t="s">
        <v>36</v>
      </c>
      <c r="K72" s="26" t="s">
        <v>52</v>
      </c>
    </row>
    <row r="73" spans="1:11" hidden="1" outlineLevel="1" x14ac:dyDescent="0.2">
      <c r="A73" s="1" t="s">
        <v>453</v>
      </c>
      <c r="B73" s="2">
        <v>8.5011574074074073E-2</v>
      </c>
      <c r="C73" s="11">
        <v>35.9</v>
      </c>
      <c r="D73" s="12">
        <v>17.600000000000001</v>
      </c>
      <c r="E73">
        <v>913</v>
      </c>
      <c r="F73">
        <v>1916</v>
      </c>
      <c r="G73">
        <v>1033</v>
      </c>
      <c r="H73" s="33" t="s">
        <v>5</v>
      </c>
      <c r="I73" s="176" t="s">
        <v>19</v>
      </c>
      <c r="J73" s="28" t="s">
        <v>19</v>
      </c>
      <c r="K73" s="28" t="s">
        <v>456</v>
      </c>
    </row>
    <row r="74" spans="1:11" hidden="1" outlineLevel="1" x14ac:dyDescent="0.2">
      <c r="A74" s="1" t="s">
        <v>454</v>
      </c>
      <c r="B74" s="2">
        <v>0.15998842592592591</v>
      </c>
      <c r="C74" s="11">
        <v>63.04</v>
      </c>
      <c r="D74" s="12">
        <v>16.399999999999999</v>
      </c>
      <c r="E74">
        <v>913</v>
      </c>
      <c r="F74">
        <v>2757</v>
      </c>
      <c r="G74">
        <v>1910</v>
      </c>
      <c r="H74" s="227" t="s">
        <v>5</v>
      </c>
      <c r="I74" s="176" t="s">
        <v>19</v>
      </c>
      <c r="J74" s="28" t="s">
        <v>19</v>
      </c>
      <c r="K74" s="28" t="s">
        <v>456</v>
      </c>
    </row>
    <row r="75" spans="1:11" hidden="1" outlineLevel="1" x14ac:dyDescent="0.2">
      <c r="A75" s="1" t="s">
        <v>455</v>
      </c>
      <c r="B75" s="140">
        <v>0.10478009259259259</v>
      </c>
      <c r="C75" s="174">
        <v>55.8</v>
      </c>
      <c r="D75" s="139">
        <v>22.2</v>
      </c>
      <c r="E75" s="141">
        <v>913</v>
      </c>
      <c r="F75" s="141">
        <v>1665</v>
      </c>
      <c r="G75" s="141">
        <v>1000</v>
      </c>
      <c r="H75" s="241" t="s">
        <v>5</v>
      </c>
      <c r="I75" s="176" t="s">
        <v>19</v>
      </c>
      <c r="J75" s="28" t="s">
        <v>19</v>
      </c>
      <c r="K75" s="28" t="s">
        <v>456</v>
      </c>
    </row>
    <row r="76" spans="1:11" ht="13.5" collapsed="1" thickBot="1" x14ac:dyDescent="0.25">
      <c r="B76" s="242">
        <f>SUM(B73:B75)</f>
        <v>0.34978009259259257</v>
      </c>
      <c r="C76" s="243">
        <f>SUM(C73:C75)</f>
        <v>154.74</v>
      </c>
      <c r="D76" s="244">
        <f>AVERAGE(D73:D75)</f>
        <v>18.733333333333334</v>
      </c>
      <c r="E76" s="245">
        <f>MIN(E73:E75)</f>
        <v>913</v>
      </c>
      <c r="F76" s="245">
        <f>MAX(F73:F75)</f>
        <v>2757</v>
      </c>
      <c r="G76" s="245">
        <f>MAX(G73:G75)</f>
        <v>1910</v>
      </c>
      <c r="H76" s="246">
        <f>SUM(G73:G75)</f>
        <v>3943</v>
      </c>
    </row>
    <row r="77" spans="1:11" ht="13.5" thickTop="1" x14ac:dyDescent="0.2"/>
    <row r="78" spans="1:11" x14ac:dyDescent="0.2">
      <c r="A78" s="392" t="s">
        <v>567</v>
      </c>
      <c r="B78" s="392"/>
      <c r="C78" s="392"/>
      <c r="D78" s="392"/>
      <c r="E78" s="392"/>
      <c r="F78" s="392"/>
      <c r="G78" s="392"/>
      <c r="H78" s="392"/>
      <c r="I78" s="392"/>
      <c r="J78" s="392"/>
      <c r="K78" s="392"/>
    </row>
    <row r="79" spans="1:11" x14ac:dyDescent="0.2">
      <c r="A79" s="44"/>
      <c r="B79" s="22" t="s">
        <v>0</v>
      </c>
      <c r="C79" s="232" t="s">
        <v>243</v>
      </c>
      <c r="D79" s="23" t="s">
        <v>242</v>
      </c>
      <c r="E79" s="21" t="s">
        <v>24</v>
      </c>
      <c r="F79" s="21" t="s">
        <v>1</v>
      </c>
      <c r="G79" s="21" t="s">
        <v>2</v>
      </c>
      <c r="H79" s="24" t="s">
        <v>3</v>
      </c>
      <c r="I79" s="25" t="s">
        <v>35</v>
      </c>
      <c r="J79" s="21" t="s">
        <v>36</v>
      </c>
      <c r="K79" s="26" t="s">
        <v>52</v>
      </c>
    </row>
    <row r="80" spans="1:11" hidden="1" outlineLevel="1" x14ac:dyDescent="0.2">
      <c r="A80" s="1" t="s">
        <v>568</v>
      </c>
      <c r="B80" s="2">
        <v>0.11028935185185185</v>
      </c>
      <c r="C80" s="11">
        <v>19</v>
      </c>
      <c r="D80" s="12">
        <f>C80*stat!$E$22/B80</f>
        <v>7.1780879420715706</v>
      </c>
      <c r="E80">
        <v>1580</v>
      </c>
      <c r="F80">
        <v>1815</v>
      </c>
      <c r="G80">
        <v>400</v>
      </c>
      <c r="H80" s="33" t="s">
        <v>6</v>
      </c>
      <c r="I80" s="176" t="s">
        <v>19</v>
      </c>
      <c r="J80" s="28"/>
      <c r="K80" s="28"/>
    </row>
    <row r="81" spans="1:11" hidden="1" outlineLevel="1" x14ac:dyDescent="0.2">
      <c r="A81" s="1" t="s">
        <v>121</v>
      </c>
      <c r="B81" s="2">
        <v>0.12166666666666666</v>
      </c>
      <c r="C81" s="11">
        <v>20</v>
      </c>
      <c r="D81" s="12">
        <f>C81*stat!$E$22/B81</f>
        <v>6.8493150684931505</v>
      </c>
      <c r="E81">
        <v>1135</v>
      </c>
      <c r="F81">
        <v>1530</v>
      </c>
      <c r="G81">
        <v>600</v>
      </c>
      <c r="H81" s="227" t="s">
        <v>6</v>
      </c>
      <c r="I81" s="176" t="s">
        <v>19</v>
      </c>
      <c r="J81" s="28" t="s">
        <v>19</v>
      </c>
      <c r="K81" s="28"/>
    </row>
    <row r="82" spans="1:11" hidden="1" outlineLevel="1" x14ac:dyDescent="0.2">
      <c r="A82" s="1" t="s">
        <v>569</v>
      </c>
      <c r="B82" s="2">
        <v>0.15164351851851851</v>
      </c>
      <c r="C82" s="11">
        <v>21</v>
      </c>
      <c r="D82" s="12">
        <f>C82*stat!$E$22/B82</f>
        <v>5.7701114333689514</v>
      </c>
      <c r="E82">
        <v>690</v>
      </c>
      <c r="F82">
        <v>1354</v>
      </c>
      <c r="G82">
        <v>1020</v>
      </c>
      <c r="H82" s="227" t="s">
        <v>6</v>
      </c>
      <c r="I82" s="176" t="s">
        <v>19</v>
      </c>
      <c r="J82" s="28" t="s">
        <v>19</v>
      </c>
      <c r="K82" s="28"/>
    </row>
    <row r="83" spans="1:11" hidden="1" outlineLevel="1" x14ac:dyDescent="0.2">
      <c r="A83" s="1" t="s">
        <v>570</v>
      </c>
      <c r="B83" s="2">
        <v>0.14869212962962963</v>
      </c>
      <c r="C83" s="11">
        <v>27</v>
      </c>
      <c r="D83" s="12">
        <f>C83*stat!$E$22/B83</f>
        <v>7.565968708647933</v>
      </c>
      <c r="E83">
        <v>1600</v>
      </c>
      <c r="F83">
        <v>2295</v>
      </c>
      <c r="G83">
        <v>710</v>
      </c>
      <c r="H83" s="227" t="s">
        <v>6</v>
      </c>
      <c r="I83" s="176" t="s">
        <v>19</v>
      </c>
      <c r="J83" s="28"/>
      <c r="K83" s="28"/>
    </row>
    <row r="84" spans="1:11" hidden="1" outlineLevel="1" x14ac:dyDescent="0.2">
      <c r="A84" s="1" t="s">
        <v>323</v>
      </c>
      <c r="B84" s="2">
        <v>0.12094907407407407</v>
      </c>
      <c r="C84" s="11">
        <v>20</v>
      </c>
      <c r="D84" s="12">
        <f>C84*stat!$E$22/B84</f>
        <v>6.8899521531100474</v>
      </c>
      <c r="E84">
        <v>1370</v>
      </c>
      <c r="F84">
        <v>1610</v>
      </c>
      <c r="G84">
        <v>510</v>
      </c>
      <c r="H84" s="227" t="s">
        <v>6</v>
      </c>
      <c r="I84" s="176" t="s">
        <v>19</v>
      </c>
      <c r="J84" s="28"/>
      <c r="K84" s="28"/>
    </row>
    <row r="85" spans="1:11" hidden="1" outlineLevel="1" x14ac:dyDescent="0.2">
      <c r="A85" s="1" t="s">
        <v>571</v>
      </c>
      <c r="B85" s="2">
        <v>0.1079976851851852</v>
      </c>
      <c r="C85" s="11">
        <v>20</v>
      </c>
      <c r="D85" s="12">
        <f>C85*stat!$E$22/B85</f>
        <v>7.7162147679777071</v>
      </c>
      <c r="E85">
        <v>1575</v>
      </c>
      <c r="F85">
        <v>1945</v>
      </c>
      <c r="G85">
        <v>630</v>
      </c>
      <c r="H85" s="227" t="s">
        <v>6</v>
      </c>
      <c r="I85" s="176" t="s">
        <v>19</v>
      </c>
      <c r="J85" s="28"/>
      <c r="K85" s="28"/>
    </row>
    <row r="86" spans="1:11" hidden="1" outlineLevel="1" x14ac:dyDescent="0.2">
      <c r="A86" s="1" t="s">
        <v>573</v>
      </c>
      <c r="B86" s="2">
        <v>0.10449074074074073</v>
      </c>
      <c r="C86" s="11">
        <v>13</v>
      </c>
      <c r="D86" s="12">
        <f>C86*stat!$E$22/B86</f>
        <v>5.1838723969871516</v>
      </c>
      <c r="E86">
        <v>1700</v>
      </c>
      <c r="F86">
        <v>2350</v>
      </c>
      <c r="G86">
        <v>670</v>
      </c>
      <c r="H86" s="227" t="s">
        <v>6</v>
      </c>
      <c r="I86" s="176" t="s">
        <v>19</v>
      </c>
      <c r="J86" s="28"/>
      <c r="K86" s="28"/>
    </row>
    <row r="87" spans="1:11" hidden="1" outlineLevel="1" x14ac:dyDescent="0.2">
      <c r="A87" s="1" t="s">
        <v>572</v>
      </c>
      <c r="B87" s="2">
        <v>0.13718749999999999</v>
      </c>
      <c r="C87" s="11">
        <v>25.2</v>
      </c>
      <c r="D87" s="12">
        <f>C87*stat!$E$22/B87</f>
        <v>7.6537585421412295</v>
      </c>
      <c r="E87">
        <v>1050</v>
      </c>
      <c r="F87">
        <v>1680</v>
      </c>
      <c r="G87">
        <v>750</v>
      </c>
      <c r="H87" s="227" t="s">
        <v>6</v>
      </c>
      <c r="I87" s="176" t="s">
        <v>19</v>
      </c>
      <c r="J87" s="28" t="s">
        <v>19</v>
      </c>
      <c r="K87" s="28"/>
    </row>
    <row r="88" spans="1:11" hidden="1" outlineLevel="1" x14ac:dyDescent="0.2">
      <c r="A88" s="1" t="s">
        <v>322</v>
      </c>
      <c r="B88" s="2">
        <v>0.10417824074074074</v>
      </c>
      <c r="C88" s="11">
        <v>19</v>
      </c>
      <c r="D88" s="12">
        <f>C88*stat!$E$22/B88</f>
        <v>7.5991556493722916</v>
      </c>
      <c r="E88">
        <v>1050</v>
      </c>
      <c r="F88">
        <v>1415</v>
      </c>
      <c r="G88">
        <v>550</v>
      </c>
      <c r="H88" s="227" t="s">
        <v>6</v>
      </c>
      <c r="I88" s="176" t="s">
        <v>19</v>
      </c>
      <c r="J88" s="28" t="s">
        <v>19</v>
      </c>
      <c r="K88" s="28" t="s">
        <v>19</v>
      </c>
    </row>
    <row r="89" spans="1:11" hidden="1" outlineLevel="1" x14ac:dyDescent="0.2">
      <c r="A89" s="1" t="s">
        <v>229</v>
      </c>
      <c r="B89" s="2">
        <v>0.12087962962962963</v>
      </c>
      <c r="C89" s="11">
        <v>24.9</v>
      </c>
      <c r="D89" s="12">
        <f>C89*stat!$E$22/B89</f>
        <v>8.5829184220605121</v>
      </c>
      <c r="E89">
        <v>1900</v>
      </c>
      <c r="F89">
        <v>2315</v>
      </c>
      <c r="G89">
        <v>630</v>
      </c>
      <c r="H89" s="227" t="s">
        <v>6</v>
      </c>
      <c r="I89" s="176" t="s">
        <v>19</v>
      </c>
      <c r="J89" s="28" t="s">
        <v>19</v>
      </c>
      <c r="K89" s="28" t="s">
        <v>19</v>
      </c>
    </row>
    <row r="90" spans="1:11" hidden="1" outlineLevel="1" x14ac:dyDescent="0.2">
      <c r="A90" s="1" t="s">
        <v>574</v>
      </c>
      <c r="B90" s="2">
        <v>0.11280092592592593</v>
      </c>
      <c r="C90" s="11">
        <v>21</v>
      </c>
      <c r="D90" s="12">
        <f>C90*stat!$E$22/B90</f>
        <v>7.7570285245228812</v>
      </c>
      <c r="E90">
        <v>1570</v>
      </c>
      <c r="F90">
        <v>2090</v>
      </c>
      <c r="G90">
        <v>540</v>
      </c>
      <c r="H90" s="227" t="s">
        <v>6</v>
      </c>
      <c r="I90" s="176" t="s">
        <v>19</v>
      </c>
      <c r="J90" s="28" t="s">
        <v>19</v>
      </c>
      <c r="K90" s="28"/>
    </row>
    <row r="91" spans="1:11" hidden="1" outlineLevel="1" x14ac:dyDescent="0.2">
      <c r="A91" s="1" t="s">
        <v>575</v>
      </c>
      <c r="B91" s="2">
        <v>8.7928240740740737E-2</v>
      </c>
      <c r="C91" s="11">
        <v>16.399999999999999</v>
      </c>
      <c r="D91" s="12">
        <f>C91*stat!$E$22/B91</f>
        <v>7.7714887455574564</v>
      </c>
      <c r="E91">
        <v>1435</v>
      </c>
      <c r="F91">
        <v>1749</v>
      </c>
      <c r="G91">
        <v>600</v>
      </c>
      <c r="H91" s="227" t="s">
        <v>6</v>
      </c>
      <c r="I91" s="176" t="s">
        <v>19</v>
      </c>
      <c r="J91" s="28" t="s">
        <v>19</v>
      </c>
      <c r="K91" s="28" t="s">
        <v>19</v>
      </c>
    </row>
    <row r="92" spans="1:11" hidden="1" outlineLevel="1" x14ac:dyDescent="0.2">
      <c r="A92" s="1" t="s">
        <v>231</v>
      </c>
      <c r="B92" s="140">
        <v>4.2187499999999996E-2</v>
      </c>
      <c r="C92" s="174">
        <v>5</v>
      </c>
      <c r="D92" s="12">
        <f>C92*stat!$E$22/B92</f>
        <v>4.9382716049382713</v>
      </c>
      <c r="E92" s="141">
        <v>1870</v>
      </c>
      <c r="F92" s="141">
        <v>2103</v>
      </c>
      <c r="G92" s="141">
        <v>270</v>
      </c>
      <c r="H92" s="241" t="s">
        <v>6</v>
      </c>
      <c r="I92" s="176" t="s">
        <v>19</v>
      </c>
      <c r="J92" s="28" t="s">
        <v>19</v>
      </c>
      <c r="K92" s="28" t="s">
        <v>19</v>
      </c>
    </row>
    <row r="93" spans="1:11" ht="13.5" collapsed="1" thickBot="1" x14ac:dyDescent="0.25">
      <c r="B93" s="242">
        <f>SUM(B80:B92)</f>
        <v>1.4708912037037036</v>
      </c>
      <c r="C93" s="243">
        <f>SUM(C80:C92)</f>
        <v>251.5</v>
      </c>
      <c r="D93" s="244">
        <f>AVERAGE(D80:D92)</f>
        <v>7.0350879968653199</v>
      </c>
      <c r="E93" s="245">
        <f>MIN(E80:E92)</f>
        <v>690</v>
      </c>
      <c r="F93" s="245">
        <f>MAX(F80:F92)</f>
        <v>2350</v>
      </c>
      <c r="G93" s="245">
        <f>MAX(G80:G92)</f>
        <v>1020</v>
      </c>
      <c r="H93" s="246">
        <f>SUM(G80:G92)</f>
        <v>7880</v>
      </c>
    </row>
    <row r="94" spans="1:11" ht="13.5" thickTop="1" x14ac:dyDescent="0.2"/>
    <row r="95" spans="1:11" x14ac:dyDescent="0.2">
      <c r="A95" s="392" t="s">
        <v>755</v>
      </c>
      <c r="B95" s="392"/>
      <c r="C95" s="392"/>
      <c r="D95" s="392"/>
      <c r="E95" s="392"/>
      <c r="F95" s="392"/>
      <c r="G95" s="392"/>
      <c r="H95" s="392"/>
      <c r="I95" s="392"/>
      <c r="J95" s="392"/>
      <c r="K95" s="392"/>
    </row>
    <row r="96" spans="1:11" x14ac:dyDescent="0.2">
      <c r="A96" s="44"/>
      <c r="B96" s="22" t="s">
        <v>0</v>
      </c>
      <c r="C96" s="232" t="s">
        <v>243</v>
      </c>
      <c r="D96" s="23" t="s">
        <v>242</v>
      </c>
      <c r="E96" s="21" t="s">
        <v>24</v>
      </c>
      <c r="F96" s="21" t="s">
        <v>1</v>
      </c>
      <c r="G96" s="21" t="s">
        <v>2</v>
      </c>
      <c r="H96" s="24" t="s">
        <v>3</v>
      </c>
      <c r="I96" s="25" t="s">
        <v>35</v>
      </c>
      <c r="J96" s="21" t="s">
        <v>36</v>
      </c>
      <c r="K96" s="26" t="s">
        <v>52</v>
      </c>
    </row>
    <row r="97" spans="1:11" hidden="1" outlineLevel="1" x14ac:dyDescent="0.2">
      <c r="A97" s="1" t="s">
        <v>568</v>
      </c>
      <c r="B97" s="2">
        <v>0.11028935185185185</v>
      </c>
      <c r="C97" s="11">
        <v>19</v>
      </c>
      <c r="D97" s="12">
        <f>C97*stat!$E$22/B97</f>
        <v>7.1780879420715706</v>
      </c>
      <c r="E97">
        <v>1580</v>
      </c>
      <c r="F97">
        <v>1815</v>
      </c>
      <c r="G97">
        <v>400</v>
      </c>
      <c r="H97" s="33" t="s">
        <v>6</v>
      </c>
      <c r="I97" s="176" t="s">
        <v>19</v>
      </c>
      <c r="J97" s="28"/>
      <c r="K97" s="28"/>
    </row>
    <row r="98" spans="1:11" hidden="1" outlineLevel="1" x14ac:dyDescent="0.2">
      <c r="A98" s="1" t="s">
        <v>756</v>
      </c>
      <c r="B98" s="2">
        <v>0.10416666666666667</v>
      </c>
      <c r="C98" s="11">
        <v>15.6</v>
      </c>
      <c r="D98" s="12">
        <f>C98*stat!$E$22/B98</f>
        <v>6.2399999999999984</v>
      </c>
      <c r="E98">
        <v>1135</v>
      </c>
      <c r="F98">
        <v>1530</v>
      </c>
      <c r="G98">
        <v>600</v>
      </c>
      <c r="H98" s="227" t="s">
        <v>6</v>
      </c>
      <c r="I98" s="176" t="s">
        <v>19</v>
      </c>
      <c r="J98" s="28" t="s">
        <v>19</v>
      </c>
      <c r="K98" s="28"/>
    </row>
    <row r="99" spans="1:11" hidden="1" outlineLevel="1" x14ac:dyDescent="0.2">
      <c r="A99" s="1" t="s">
        <v>757</v>
      </c>
      <c r="B99" s="2">
        <v>0.11458333333333333</v>
      </c>
      <c r="C99" s="11">
        <v>17</v>
      </c>
      <c r="D99" s="12">
        <f>C99*stat!$E$22/B99</f>
        <v>6.1818181818181817</v>
      </c>
      <c r="E99">
        <v>1370</v>
      </c>
      <c r="F99">
        <v>1610</v>
      </c>
      <c r="G99">
        <v>600</v>
      </c>
      <c r="H99" s="227" t="s">
        <v>6</v>
      </c>
      <c r="I99" s="176" t="s">
        <v>19</v>
      </c>
      <c r="J99" s="28"/>
      <c r="K99" s="28"/>
    </row>
    <row r="100" spans="1:11" hidden="1" outlineLevel="1" x14ac:dyDescent="0.2">
      <c r="A100" s="1" t="s">
        <v>758</v>
      </c>
      <c r="B100" s="2">
        <v>4.1666666666666664E-2</v>
      </c>
      <c r="C100" s="11">
        <v>13</v>
      </c>
      <c r="D100" s="12">
        <f>C100*stat!$E$22/B100</f>
        <v>13</v>
      </c>
      <c r="E100">
        <v>4</v>
      </c>
      <c r="F100">
        <v>140</v>
      </c>
      <c r="G100">
        <v>230</v>
      </c>
      <c r="H100" s="227" t="s">
        <v>6</v>
      </c>
      <c r="I100" s="176"/>
      <c r="J100" s="28"/>
      <c r="K100" s="28"/>
    </row>
    <row r="101" spans="1:11" hidden="1" outlineLevel="1" x14ac:dyDescent="0.2">
      <c r="A101" s="1" t="s">
        <v>574</v>
      </c>
      <c r="B101" s="2">
        <v>0.11280092592592593</v>
      </c>
      <c r="C101" s="11">
        <v>21</v>
      </c>
      <c r="D101" s="12">
        <f>C101*stat!$E$22/B101</f>
        <v>7.7570285245228812</v>
      </c>
      <c r="E101">
        <v>1570</v>
      </c>
      <c r="F101">
        <v>2090</v>
      </c>
      <c r="G101">
        <v>540</v>
      </c>
      <c r="H101" s="227" t="s">
        <v>6</v>
      </c>
      <c r="I101" s="176" t="s">
        <v>19</v>
      </c>
      <c r="J101" s="28" t="s">
        <v>19</v>
      </c>
      <c r="K101" s="28"/>
    </row>
    <row r="102" spans="1:11" hidden="1" outlineLevel="1" x14ac:dyDescent="0.2">
      <c r="A102" s="1" t="s">
        <v>573</v>
      </c>
      <c r="B102" s="2">
        <v>0.10449074074074073</v>
      </c>
      <c r="C102" s="11">
        <v>13.5</v>
      </c>
      <c r="D102" s="12">
        <f>C102*stat!$E$22/B102</f>
        <v>5.3832521045635806</v>
      </c>
      <c r="E102">
        <v>1700</v>
      </c>
      <c r="F102">
        <v>2360</v>
      </c>
      <c r="G102">
        <v>680</v>
      </c>
      <c r="H102" s="227" t="s">
        <v>6</v>
      </c>
      <c r="I102" s="176" t="s">
        <v>19</v>
      </c>
      <c r="J102" s="28"/>
      <c r="K102" s="28"/>
    </row>
    <row r="103" spans="1:11" ht="13.5" collapsed="1" thickBot="1" x14ac:dyDescent="0.25">
      <c r="B103" s="242">
        <f>SUM(B97:B102)</f>
        <v>0.58799768518518525</v>
      </c>
      <c r="C103" s="243">
        <f>SUM(C97:C102)</f>
        <v>99.1</v>
      </c>
      <c r="D103" s="244">
        <f>AVERAGE(D97:D102)</f>
        <v>7.6233644588293688</v>
      </c>
      <c r="E103" s="245">
        <f>MIN(E97:E102)</f>
        <v>4</v>
      </c>
      <c r="F103" s="245">
        <f>MAX(F97:F102)</f>
        <v>2360</v>
      </c>
      <c r="G103" s="245">
        <f>MAX(G97:G102)</f>
        <v>680</v>
      </c>
      <c r="H103" s="246">
        <f>SUM(G97:G102)</f>
        <v>3050</v>
      </c>
    </row>
    <row r="104" spans="1:11" ht="13.5" thickTop="1" x14ac:dyDescent="0.2"/>
    <row r="105" spans="1:11" x14ac:dyDescent="0.2">
      <c r="A105" s="392" t="s">
        <v>858</v>
      </c>
      <c r="B105" s="392"/>
      <c r="C105" s="392"/>
      <c r="D105" s="392"/>
      <c r="E105" s="392"/>
      <c r="F105" s="392"/>
      <c r="G105" s="392"/>
      <c r="H105" s="392"/>
      <c r="I105" s="392"/>
      <c r="J105" s="392"/>
      <c r="K105" s="392"/>
    </row>
    <row r="106" spans="1:11" x14ac:dyDescent="0.2">
      <c r="A106" s="44"/>
      <c r="B106" s="22" t="s">
        <v>0</v>
      </c>
      <c r="C106" s="232" t="s">
        <v>243</v>
      </c>
      <c r="D106" s="23" t="s">
        <v>242</v>
      </c>
      <c r="E106" s="21" t="s">
        <v>24</v>
      </c>
      <c r="F106" s="21" t="s">
        <v>1</v>
      </c>
      <c r="G106" s="21" t="s">
        <v>2</v>
      </c>
      <c r="H106" s="24" t="s">
        <v>3</v>
      </c>
      <c r="I106" s="25" t="s">
        <v>35</v>
      </c>
      <c r="J106" s="21" t="s">
        <v>36</v>
      </c>
      <c r="K106" s="26" t="s">
        <v>52</v>
      </c>
    </row>
    <row r="107" spans="1:11" hidden="1" outlineLevel="1" x14ac:dyDescent="0.2">
      <c r="A107" s="1" t="s">
        <v>861</v>
      </c>
      <c r="B107" s="2">
        <v>0.125</v>
      </c>
      <c r="C107" s="11">
        <v>39.5</v>
      </c>
      <c r="D107" s="12">
        <f>C107*stat!$E$22/B107</f>
        <v>13.166666666666666</v>
      </c>
      <c r="E107">
        <v>910</v>
      </c>
      <c r="F107">
        <v>1310</v>
      </c>
      <c r="G107">
        <v>800</v>
      </c>
      <c r="H107" s="33" t="s">
        <v>398</v>
      </c>
      <c r="I107" s="176"/>
      <c r="J107" s="28"/>
      <c r="K107" s="28"/>
    </row>
    <row r="108" spans="1:11" hidden="1" outlineLevel="1" x14ac:dyDescent="0.2">
      <c r="A108" s="1" t="s">
        <v>859</v>
      </c>
      <c r="B108" s="2">
        <v>0.16666666666666666</v>
      </c>
      <c r="C108" s="11">
        <v>62</v>
      </c>
      <c r="D108" s="12">
        <f>C108*stat!$E$22/B108</f>
        <v>15.499999999999998</v>
      </c>
      <c r="E108">
        <v>756</v>
      </c>
      <c r="F108">
        <v>1447</v>
      </c>
      <c r="G108">
        <v>1180</v>
      </c>
      <c r="H108" s="227" t="s">
        <v>398</v>
      </c>
      <c r="I108" s="176"/>
      <c r="J108" s="28"/>
      <c r="K108" s="28"/>
    </row>
    <row r="109" spans="1:11" hidden="1" outlineLevel="1" x14ac:dyDescent="0.2">
      <c r="A109" s="1" t="s">
        <v>914</v>
      </c>
      <c r="B109" s="2">
        <v>8.3333333333333329E-2</v>
      </c>
      <c r="C109" s="11">
        <v>36.299999999999997</v>
      </c>
      <c r="D109" s="12">
        <f>C109*stat!$E$22/B109</f>
        <v>18.149999999999999</v>
      </c>
      <c r="E109">
        <v>756</v>
      </c>
      <c r="F109">
        <v>1120</v>
      </c>
      <c r="G109">
        <v>592</v>
      </c>
      <c r="H109" s="227" t="s">
        <v>398</v>
      </c>
      <c r="I109" s="176"/>
      <c r="J109" s="28"/>
      <c r="K109" s="28"/>
    </row>
    <row r="110" spans="1:11" hidden="1" outlineLevel="1" x14ac:dyDescent="0.2">
      <c r="A110" s="1" t="s">
        <v>860</v>
      </c>
      <c r="B110" s="2">
        <v>4.1666666666666664E-2</v>
      </c>
      <c r="C110" s="11">
        <v>13.5</v>
      </c>
      <c r="D110" s="12">
        <f>C110*stat!$E$22/B110</f>
        <v>13.5</v>
      </c>
      <c r="E110">
        <v>740</v>
      </c>
      <c r="F110">
        <v>856</v>
      </c>
      <c r="G110">
        <v>300</v>
      </c>
      <c r="H110" s="227" t="s">
        <v>398</v>
      </c>
      <c r="I110" s="176"/>
      <c r="J110" s="28"/>
      <c r="K110" s="28"/>
    </row>
    <row r="111" spans="1:11" hidden="1" outlineLevel="1" x14ac:dyDescent="0.2">
      <c r="A111" s="1" t="s">
        <v>862</v>
      </c>
      <c r="B111" s="2">
        <v>0.10416666666666667</v>
      </c>
      <c r="C111" s="11">
        <v>45</v>
      </c>
      <c r="D111" s="12">
        <f>C111*stat!$E$22/B111</f>
        <v>18</v>
      </c>
      <c r="E111">
        <v>800</v>
      </c>
      <c r="F111">
        <v>1178</v>
      </c>
      <c r="G111">
        <v>600</v>
      </c>
      <c r="H111" s="227" t="s">
        <v>398</v>
      </c>
      <c r="I111" s="176"/>
      <c r="J111" s="28"/>
      <c r="K111" s="28"/>
    </row>
    <row r="112" spans="1:11" hidden="1" outlineLevel="1" x14ac:dyDescent="0.2">
      <c r="A112" s="1" t="s">
        <v>863</v>
      </c>
      <c r="B112" s="2">
        <v>0.10416666666666667</v>
      </c>
      <c r="C112" s="11">
        <v>32</v>
      </c>
      <c r="D112" s="12">
        <f>C112*stat!$E$22/B112</f>
        <v>12.799999999999999</v>
      </c>
      <c r="E112">
        <v>1360</v>
      </c>
      <c r="F112">
        <v>2830</v>
      </c>
      <c r="G112">
        <v>1530</v>
      </c>
      <c r="H112" s="227" t="s">
        <v>398</v>
      </c>
      <c r="I112" s="176"/>
      <c r="J112" s="28"/>
      <c r="K112" s="28"/>
    </row>
    <row r="113" spans="1:11" hidden="1" outlineLevel="1" x14ac:dyDescent="0.2">
      <c r="A113" s="1" t="s">
        <v>864</v>
      </c>
      <c r="B113" s="2">
        <v>4.8611111111111112E-2</v>
      </c>
      <c r="C113" s="11">
        <v>16</v>
      </c>
      <c r="D113" s="12">
        <f>C113*stat!$E$22/B113</f>
        <v>13.714285714285714</v>
      </c>
      <c r="E113">
        <v>1045</v>
      </c>
      <c r="F113">
        <v>1565</v>
      </c>
      <c r="G113">
        <v>550</v>
      </c>
      <c r="H113" s="227" t="s">
        <v>398</v>
      </c>
      <c r="I113" s="176"/>
      <c r="J113" s="28"/>
      <c r="K113" s="28"/>
    </row>
    <row r="114" spans="1:11" hidden="1" outlineLevel="1" x14ac:dyDescent="0.2">
      <c r="A114" s="1" t="s">
        <v>865</v>
      </c>
      <c r="B114" s="2">
        <v>0.14583333333333334</v>
      </c>
      <c r="C114" s="11">
        <v>45</v>
      </c>
      <c r="D114" s="12">
        <f>C114*stat!$E$22/B114</f>
        <v>12.857142857142856</v>
      </c>
      <c r="E114">
        <v>1360</v>
      </c>
      <c r="F114">
        <v>2474</v>
      </c>
      <c r="G114">
        <v>1450</v>
      </c>
      <c r="H114" s="227" t="s">
        <v>398</v>
      </c>
      <c r="I114" s="176"/>
      <c r="J114" s="28"/>
      <c r="K114" s="28"/>
    </row>
    <row r="115" spans="1:11" hidden="1" outlineLevel="1" x14ac:dyDescent="0.2">
      <c r="A115" s="1" t="s">
        <v>866</v>
      </c>
      <c r="B115" s="2">
        <v>8.3333333333333329E-2</v>
      </c>
      <c r="C115" s="11">
        <v>31</v>
      </c>
      <c r="D115" s="12">
        <f>C115*stat!$E$22/B115</f>
        <v>15.499999999999998</v>
      </c>
      <c r="E115">
        <v>1450</v>
      </c>
      <c r="F115">
        <v>2040</v>
      </c>
      <c r="G115">
        <v>800</v>
      </c>
      <c r="H115" s="227" t="s">
        <v>398</v>
      </c>
      <c r="I115" s="176"/>
      <c r="J115" s="28"/>
      <c r="K115" s="28"/>
    </row>
    <row r="116" spans="1:11" ht="13.5" collapsed="1" thickBot="1" x14ac:dyDescent="0.25">
      <c r="B116" s="242">
        <f>SUM(B107:B115)</f>
        <v>0.90277777777777779</v>
      </c>
      <c r="C116" s="243">
        <f>SUM(C107:C115)</f>
        <v>320.3</v>
      </c>
      <c r="D116" s="244">
        <f>AVERAGE(D107:D115)</f>
        <v>14.798677248677247</v>
      </c>
      <c r="E116" s="245">
        <f>MIN(E107:E115)</f>
        <v>740</v>
      </c>
      <c r="F116" s="245">
        <f>MAX(F107:F115)</f>
        <v>2830</v>
      </c>
      <c r="G116" s="245">
        <f>MAX(G107:G115)</f>
        <v>1530</v>
      </c>
      <c r="H116" s="246">
        <f>SUM(G107:G115)</f>
        <v>7802</v>
      </c>
    </row>
    <row r="117" spans="1:11" ht="13.5" thickTop="1" x14ac:dyDescent="0.2"/>
    <row r="118" spans="1:11" x14ac:dyDescent="0.2">
      <c r="A118" s="392" t="s">
        <v>915</v>
      </c>
      <c r="B118" s="392"/>
      <c r="C118" s="392"/>
      <c r="D118" s="392"/>
      <c r="E118" s="392"/>
      <c r="F118" s="392"/>
      <c r="G118" s="392"/>
      <c r="H118" s="392"/>
      <c r="I118" s="392"/>
      <c r="J118" s="392"/>
      <c r="K118" s="392"/>
    </row>
    <row r="119" spans="1:11" x14ac:dyDescent="0.2">
      <c r="A119" s="44"/>
      <c r="B119" s="22" t="s">
        <v>0</v>
      </c>
      <c r="C119" s="232" t="s">
        <v>243</v>
      </c>
      <c r="D119" s="23" t="s">
        <v>242</v>
      </c>
      <c r="E119" s="21" t="s">
        <v>24</v>
      </c>
      <c r="F119" s="21" t="s">
        <v>1</v>
      </c>
      <c r="G119" s="21" t="s">
        <v>2</v>
      </c>
      <c r="H119" s="24" t="s">
        <v>3</v>
      </c>
      <c r="I119" s="25" t="s">
        <v>35</v>
      </c>
      <c r="J119" s="21" t="s">
        <v>36</v>
      </c>
      <c r="K119" s="26" t="s">
        <v>52</v>
      </c>
    </row>
    <row r="120" spans="1:11" hidden="1" outlineLevel="1" x14ac:dyDescent="0.2">
      <c r="A120" s="1" t="s">
        <v>916</v>
      </c>
      <c r="B120" s="2">
        <v>9.375E-2</v>
      </c>
      <c r="C120" s="11">
        <v>37</v>
      </c>
      <c r="D120" s="12">
        <f>C120*stat!$E$22/B120</f>
        <v>16.444444444444443</v>
      </c>
      <c r="E120">
        <v>620</v>
      </c>
      <c r="F120">
        <v>1530</v>
      </c>
      <c r="G120">
        <v>910</v>
      </c>
      <c r="H120" s="33" t="s">
        <v>398</v>
      </c>
      <c r="I120" s="176"/>
      <c r="J120" s="28"/>
      <c r="K120" s="28"/>
    </row>
    <row r="121" spans="1:11" hidden="1" outlineLevel="1" x14ac:dyDescent="0.2">
      <c r="A121" s="1" t="s">
        <v>917</v>
      </c>
      <c r="B121" s="2">
        <v>6.5972222222222224E-2</v>
      </c>
      <c r="C121" s="11">
        <v>31.1</v>
      </c>
      <c r="D121" s="12">
        <f>C121*stat!$E$22/B121</f>
        <v>19.642105263157895</v>
      </c>
      <c r="E121">
        <v>540</v>
      </c>
      <c r="F121">
        <v>620</v>
      </c>
      <c r="G121">
        <v>115</v>
      </c>
      <c r="H121" s="227" t="s">
        <v>398</v>
      </c>
      <c r="I121" s="176"/>
      <c r="J121" s="28"/>
      <c r="K121" s="28"/>
    </row>
    <row r="122" spans="1:11" hidden="1" outlineLevel="1" x14ac:dyDescent="0.2">
      <c r="A122" s="1" t="s">
        <v>916</v>
      </c>
      <c r="B122" s="2">
        <v>9.375E-2</v>
      </c>
      <c r="C122" s="11">
        <v>37</v>
      </c>
      <c r="D122" s="12">
        <f>C122*stat!$E$22/B122</f>
        <v>16.444444444444443</v>
      </c>
      <c r="E122">
        <v>620</v>
      </c>
      <c r="F122">
        <v>1530</v>
      </c>
      <c r="G122">
        <v>910</v>
      </c>
      <c r="H122" s="227" t="s">
        <v>398</v>
      </c>
      <c r="I122" s="176"/>
      <c r="J122" s="28"/>
      <c r="K122" s="28"/>
    </row>
    <row r="123" spans="1:11" hidden="1" outlineLevel="1" x14ac:dyDescent="0.2">
      <c r="A123" s="1" t="s">
        <v>918</v>
      </c>
      <c r="B123" s="2">
        <v>5.0694444444444452E-2</v>
      </c>
      <c r="C123" s="11">
        <v>24</v>
      </c>
      <c r="D123" s="12">
        <f>C123*stat!$E$22/B123</f>
        <v>19.726027397260271</v>
      </c>
      <c r="E123">
        <v>560</v>
      </c>
      <c r="F123">
        <v>620</v>
      </c>
      <c r="G123">
        <v>130</v>
      </c>
      <c r="H123" s="227" t="s">
        <v>398</v>
      </c>
      <c r="I123" s="176"/>
      <c r="J123" s="28"/>
      <c r="K123" s="28"/>
    </row>
    <row r="124" spans="1:11" hidden="1" outlineLevel="1" x14ac:dyDescent="0.2">
      <c r="A124" s="1" t="s">
        <v>919</v>
      </c>
      <c r="B124" s="2">
        <v>0.125</v>
      </c>
      <c r="C124" s="11">
        <v>40</v>
      </c>
      <c r="D124" s="12">
        <f>C124*stat!$E$22/B124</f>
        <v>13.333333333333332</v>
      </c>
      <c r="E124">
        <v>590</v>
      </c>
      <c r="F124">
        <v>2035</v>
      </c>
      <c r="G124">
        <v>1500</v>
      </c>
      <c r="H124" s="227" t="s">
        <v>398</v>
      </c>
      <c r="I124" s="176"/>
      <c r="J124" s="28"/>
      <c r="K124" s="28"/>
    </row>
    <row r="125" spans="1:11" hidden="1" outlineLevel="1" x14ac:dyDescent="0.2">
      <c r="A125" s="1" t="s">
        <v>920</v>
      </c>
      <c r="B125" s="2">
        <v>5.9027777777777783E-2</v>
      </c>
      <c r="C125" s="11">
        <v>26</v>
      </c>
      <c r="D125" s="12">
        <f>C125*stat!$E$22/B125</f>
        <v>18.352941176470587</v>
      </c>
      <c r="E125">
        <v>745</v>
      </c>
      <c r="F125">
        <v>856</v>
      </c>
      <c r="G125">
        <v>610</v>
      </c>
      <c r="H125" s="227" t="s">
        <v>398</v>
      </c>
      <c r="I125" s="176"/>
      <c r="J125" s="28"/>
      <c r="K125" s="28"/>
    </row>
    <row r="126" spans="1:11" hidden="1" outlineLevel="1" x14ac:dyDescent="0.2">
      <c r="A126" s="1" t="s">
        <v>921</v>
      </c>
      <c r="B126" s="2">
        <v>0.11805555555555557</v>
      </c>
      <c r="C126" s="11">
        <v>57.2</v>
      </c>
      <c r="D126" s="12">
        <f>C126*stat!$E$22/B126</f>
        <v>20.188235294117646</v>
      </c>
      <c r="E126">
        <v>745</v>
      </c>
      <c r="F126">
        <v>1120</v>
      </c>
      <c r="G126">
        <v>750</v>
      </c>
      <c r="H126" s="227" t="s">
        <v>398</v>
      </c>
      <c r="I126" s="176"/>
      <c r="J126" s="28"/>
      <c r="K126" s="28"/>
    </row>
    <row r="127" spans="1:11" hidden="1" outlineLevel="1" x14ac:dyDescent="0.2">
      <c r="A127" s="1" t="s">
        <v>922</v>
      </c>
      <c r="B127" s="2">
        <v>3.4722222222222224E-2</v>
      </c>
      <c r="C127" s="11">
        <v>14.5</v>
      </c>
      <c r="D127" s="12">
        <f>C127*stat!$E$22/B127</f>
        <v>17.399999999999999</v>
      </c>
      <c r="E127">
        <v>745</v>
      </c>
      <c r="F127">
        <v>856</v>
      </c>
      <c r="G127">
        <v>320</v>
      </c>
      <c r="H127" s="227" t="s">
        <v>398</v>
      </c>
      <c r="I127" s="176"/>
      <c r="J127" s="28"/>
      <c r="K127" s="28"/>
    </row>
    <row r="128" spans="1:11" ht="13.5" collapsed="1" thickBot="1" x14ac:dyDescent="0.25">
      <c r="B128" s="242">
        <f>SUM(B120:B127)</f>
        <v>0.64097222222222217</v>
      </c>
      <c r="C128" s="243">
        <f>SUM(C120:C127)</f>
        <v>266.8</v>
      </c>
      <c r="D128" s="244">
        <f>AVERAGE(D120:D127)</f>
        <v>17.691441419153577</v>
      </c>
      <c r="E128" s="245">
        <f>MIN(E120:E127)</f>
        <v>540</v>
      </c>
      <c r="F128" s="245">
        <f>MAX(F120:F127)</f>
        <v>2035</v>
      </c>
      <c r="G128" s="245">
        <f>MAX(G120:G127)</f>
        <v>1500</v>
      </c>
      <c r="H128" s="246">
        <f>SUM(G120:G127)</f>
        <v>5245</v>
      </c>
    </row>
    <row r="129" spans="1:11" ht="13.5" thickTop="1" x14ac:dyDescent="0.2"/>
    <row r="130" spans="1:11" x14ac:dyDescent="0.2">
      <c r="A130" s="392" t="s">
        <v>933</v>
      </c>
      <c r="B130" s="392"/>
      <c r="C130" s="392"/>
      <c r="D130" s="392"/>
      <c r="E130" s="392"/>
      <c r="F130" s="392"/>
      <c r="G130" s="392"/>
      <c r="H130" s="392"/>
      <c r="I130" s="392"/>
      <c r="J130" s="392"/>
      <c r="K130" s="392"/>
    </row>
    <row r="131" spans="1:11" x14ac:dyDescent="0.2">
      <c r="A131" s="44"/>
      <c r="B131" s="22" t="s">
        <v>0</v>
      </c>
      <c r="C131" s="232" t="s">
        <v>243</v>
      </c>
      <c r="D131" s="23" t="s">
        <v>242</v>
      </c>
      <c r="E131" s="21" t="s">
        <v>24</v>
      </c>
      <c r="F131" s="21" t="s">
        <v>1</v>
      </c>
      <c r="G131" s="21" t="s">
        <v>2</v>
      </c>
      <c r="H131" s="24" t="s">
        <v>3</v>
      </c>
      <c r="I131" s="25" t="s">
        <v>35</v>
      </c>
      <c r="J131" s="21" t="s">
        <v>36</v>
      </c>
      <c r="K131" s="26" t="s">
        <v>52</v>
      </c>
    </row>
    <row r="132" spans="1:11" hidden="1" outlineLevel="1" x14ac:dyDescent="0.2">
      <c r="A132" s="1" t="s">
        <v>934</v>
      </c>
      <c r="B132" s="2">
        <v>8.3333333333333329E-2</v>
      </c>
      <c r="C132" s="11">
        <v>25</v>
      </c>
      <c r="D132" s="12">
        <f>C132*stat!$E$22/B132</f>
        <v>12.499999999999998</v>
      </c>
      <c r="E132">
        <v>810</v>
      </c>
      <c r="F132">
        <v>1830</v>
      </c>
      <c r="G132">
        <v>1080</v>
      </c>
      <c r="H132" s="33" t="s">
        <v>398</v>
      </c>
      <c r="I132" s="176"/>
      <c r="J132" s="28"/>
      <c r="K132" s="28"/>
    </row>
    <row r="133" spans="1:11" hidden="1" outlineLevel="1" x14ac:dyDescent="0.2">
      <c r="A133" s="1" t="s">
        <v>935</v>
      </c>
      <c r="B133" s="2">
        <v>0.16666666666666666</v>
      </c>
      <c r="C133" s="11">
        <v>67</v>
      </c>
      <c r="D133" s="12">
        <f>C133*stat!$E$22/B133</f>
        <v>16.75</v>
      </c>
      <c r="E133">
        <v>666</v>
      </c>
      <c r="F133">
        <v>1788</v>
      </c>
      <c r="G133">
        <v>1440</v>
      </c>
      <c r="H133" s="227" t="s">
        <v>398</v>
      </c>
      <c r="I133" s="176"/>
      <c r="J133" s="28"/>
      <c r="K133" s="28"/>
    </row>
    <row r="134" spans="1:11" hidden="1" outlineLevel="1" x14ac:dyDescent="0.2">
      <c r="A134" s="1" t="s">
        <v>936</v>
      </c>
      <c r="B134" s="2">
        <v>4.1666666666666664E-2</v>
      </c>
      <c r="C134" s="11">
        <v>13.5</v>
      </c>
      <c r="D134" s="12">
        <f>C134*stat!$E$22/B134</f>
        <v>13.5</v>
      </c>
      <c r="E134">
        <v>1139</v>
      </c>
      <c r="F134">
        <v>1692</v>
      </c>
      <c r="G134">
        <v>560</v>
      </c>
      <c r="H134" s="227" t="s">
        <v>398</v>
      </c>
      <c r="I134" s="176"/>
      <c r="J134" s="28"/>
      <c r="K134" s="28"/>
    </row>
    <row r="135" spans="1:11" hidden="1" outlineLevel="1" x14ac:dyDescent="0.2">
      <c r="A135" s="1" t="s">
        <v>937</v>
      </c>
      <c r="B135" s="2">
        <v>6.25E-2</v>
      </c>
      <c r="C135" s="11">
        <v>19</v>
      </c>
      <c r="D135" s="12">
        <f>C135*stat!$E$22/B135</f>
        <v>12.666666666666666</v>
      </c>
      <c r="E135">
        <v>745</v>
      </c>
      <c r="F135">
        <v>1315</v>
      </c>
      <c r="G135">
        <v>655</v>
      </c>
      <c r="H135" s="227" t="s">
        <v>398</v>
      </c>
      <c r="I135" s="176"/>
      <c r="J135" s="28"/>
      <c r="K135" s="28"/>
    </row>
    <row r="136" spans="1:11" hidden="1" outlineLevel="1" x14ac:dyDescent="0.2">
      <c r="A136" s="1" t="s">
        <v>938</v>
      </c>
      <c r="B136" s="2">
        <v>0.10416666666666667</v>
      </c>
      <c r="C136" s="11">
        <v>46.6</v>
      </c>
      <c r="D136" s="12">
        <f>C136*stat!$E$22/B136</f>
        <v>18.64</v>
      </c>
      <c r="E136">
        <v>756</v>
      </c>
      <c r="F136">
        <v>1120</v>
      </c>
      <c r="G136">
        <v>650</v>
      </c>
      <c r="H136" s="227" t="s">
        <v>398</v>
      </c>
      <c r="I136" s="176"/>
      <c r="J136" s="28"/>
      <c r="K136" s="28"/>
    </row>
    <row r="137" spans="1:11" ht="13.5" collapsed="1" thickBot="1" x14ac:dyDescent="0.25">
      <c r="B137" s="242">
        <f>SUM(B132:B136)</f>
        <v>0.45833333333333337</v>
      </c>
      <c r="C137" s="243">
        <f>SUM(C132:C136)</f>
        <v>171.1</v>
      </c>
      <c r="D137" s="244">
        <f>AVERAGE(D132:D136)</f>
        <v>14.811333333333334</v>
      </c>
      <c r="E137" s="245">
        <f>MIN(E132:E136)</f>
        <v>666</v>
      </c>
      <c r="F137" s="245">
        <f>MAX(F132:F136)</f>
        <v>1830</v>
      </c>
      <c r="G137" s="245">
        <f>MAX(G132:G136)</f>
        <v>1440</v>
      </c>
      <c r="H137" s="246">
        <f>SUM(G132:G136)</f>
        <v>4385</v>
      </c>
    </row>
    <row r="138" spans="1:11" ht="13.5" thickTop="1" x14ac:dyDescent="0.2"/>
  </sheetData>
  <mergeCells count="15">
    <mergeCell ref="A130:K130"/>
    <mergeCell ref="A118:K118"/>
    <mergeCell ref="A105:K105"/>
    <mergeCell ref="A95:K95"/>
    <mergeCell ref="M1:P1"/>
    <mergeCell ref="A78:K78"/>
    <mergeCell ref="A71:K71"/>
    <mergeCell ref="A59:K59"/>
    <mergeCell ref="A51:K51"/>
    <mergeCell ref="A42:K42"/>
    <mergeCell ref="A36:K36"/>
    <mergeCell ref="A2:K2"/>
    <mergeCell ref="A12:K12"/>
    <mergeCell ref="A21:K21"/>
    <mergeCell ref="A31:K31"/>
  </mergeCells>
  <phoneticPr fontId="9" type="noConversion"/>
  <conditionalFormatting sqref="I65:I70 I32 I22 I34:I35 I37 I40:I43 I46:I53 I56:I63 I11 I13 I19:I20 I30 I73:I77 I94 I97:I104 I117 I120:I129 I132:I65547">
    <cfRule type="cellIs" dxfId="1098" priority="277" stopIfTrue="1" operator="between">
      <formula>0</formula>
      <formula>0.0999</formula>
    </cfRule>
    <cfRule type="cellIs" dxfId="1097" priority="278" stopIfTrue="1" operator="between">
      <formula>0.1</formula>
      <formula>0.1499</formula>
    </cfRule>
    <cfRule type="cellIs" dxfId="1096" priority="279" stopIfTrue="1" operator="between">
      <formula>0.15</formula>
      <formula>1</formula>
    </cfRule>
  </conditionalFormatting>
  <conditionalFormatting sqref="B32:B35 B37:B70 B3:B11 B13:B20 B22:B30 B73:B77 B94 B97:B104 B117 B120:B129 B132:B65547">
    <cfRule type="cellIs" dxfId="1095" priority="280" stopIfTrue="1" operator="between">
      <formula>0</formula>
      <formula>0.0416550925925926</formula>
    </cfRule>
    <cfRule type="cellIs" dxfId="1094" priority="281" stopIfTrue="1" operator="between">
      <formula>0.0416666666666667</formula>
      <formula>0.0833217592592593</formula>
    </cfRule>
    <cfRule type="cellIs" dxfId="1093" priority="282" stopIfTrue="1" operator="between">
      <formula>0.0833333333333333</formula>
      <formula>4.16665509259259</formula>
    </cfRule>
  </conditionalFormatting>
  <conditionalFormatting sqref="C32:C35 C37:C70 C3:C11 C13:C20 C22:C30 C73:C77 C94 C97:C104 C117 C120:C129 C132:C65547">
    <cfRule type="cellIs" dxfId="1092" priority="283" stopIfTrue="1" operator="between">
      <formula>0</formula>
      <formula>19.99</formula>
    </cfRule>
    <cfRule type="cellIs" dxfId="1091" priority="284" stopIfTrue="1" operator="between">
      <formula>20</formula>
      <formula>49.99</formula>
    </cfRule>
    <cfRule type="cellIs" dxfId="1090" priority="285" stopIfTrue="1" operator="between">
      <formula>50</formula>
      <formula>9999</formula>
    </cfRule>
  </conditionalFormatting>
  <conditionalFormatting sqref="D32:D35 D37:D52 D3:D11 D13:D20 D22:D30 D73:D77 D94 D69:D70 D57:D60 D97:D104 D117 D120:D129 D132:D65547">
    <cfRule type="cellIs" dxfId="1089" priority="286" stopIfTrue="1" operator="between">
      <formula>0</formula>
      <formula>19.99</formula>
    </cfRule>
    <cfRule type="cellIs" dxfId="1088" priority="287" stopIfTrue="1" operator="between">
      <formula>10</formula>
      <formula>24.99</formula>
    </cfRule>
    <cfRule type="cellIs" dxfId="1087" priority="288" stopIfTrue="1" operator="between">
      <formula>25</formula>
      <formula>99.99</formula>
    </cfRule>
  </conditionalFormatting>
  <conditionalFormatting sqref="E32:G35 E37:G70 E3:G11 E13:G20 E22:G30 E73:G77 E94:G94 E97:G104 E117:G117 E120:G129 E132:G65547">
    <cfRule type="cellIs" dxfId="1086" priority="289" stopIfTrue="1" operator="between">
      <formula>0</formula>
      <formula>499.99</formula>
    </cfRule>
    <cfRule type="cellIs" dxfId="1085" priority="290" stopIfTrue="1" operator="between">
      <formula>500</formula>
      <formula>999.99</formula>
    </cfRule>
    <cfRule type="cellIs" dxfId="1084" priority="291" stopIfTrue="1" operator="between">
      <formula>1000</formula>
      <formula>9999.99</formula>
    </cfRule>
  </conditionalFormatting>
  <conditionalFormatting sqref="F2:F70 F73:F77 F94 F97:F104 F117 F120:F129 F132:F1048576">
    <cfRule type="cellIs" dxfId="1083" priority="400" operator="equal">
      <formula>$N$3</formula>
    </cfRule>
  </conditionalFormatting>
  <conditionalFormatting sqref="G2:G70 G73:G77 G94 G97:G104 G117 G120:G129 G132:G1048576">
    <cfRule type="cellIs" dxfId="1082" priority="401" operator="equal">
      <formula>$N$2</formula>
    </cfRule>
  </conditionalFormatting>
  <conditionalFormatting sqref="I71:I72">
    <cfRule type="cellIs" dxfId="1081" priority="234" stopIfTrue="1" operator="between">
      <formula>0</formula>
      <formula>0.0999</formula>
    </cfRule>
    <cfRule type="cellIs" dxfId="1080" priority="235" stopIfTrue="1" operator="between">
      <formula>0.1</formula>
      <formula>0.1499</formula>
    </cfRule>
    <cfRule type="cellIs" dxfId="1079" priority="236" stopIfTrue="1" operator="between">
      <formula>0.15</formula>
      <formula>1</formula>
    </cfRule>
  </conditionalFormatting>
  <conditionalFormatting sqref="B71:B72">
    <cfRule type="cellIs" dxfId="1078" priority="237" stopIfTrue="1" operator="between">
      <formula>0</formula>
      <formula>0.0416550925925926</formula>
    </cfRule>
    <cfRule type="cellIs" dxfId="1077" priority="238" stopIfTrue="1" operator="between">
      <formula>0.0416666666666667</formula>
      <formula>0.0833217592592593</formula>
    </cfRule>
    <cfRule type="cellIs" dxfId="1076" priority="239" stopIfTrue="1" operator="between">
      <formula>0.0833333333333333</formula>
      <formula>4.16665509259259</formula>
    </cfRule>
  </conditionalFormatting>
  <conditionalFormatting sqref="C71:C72">
    <cfRule type="cellIs" dxfId="1075" priority="240" stopIfTrue="1" operator="between">
      <formula>0</formula>
      <formula>19.99</formula>
    </cfRule>
    <cfRule type="cellIs" dxfId="1074" priority="241" stopIfTrue="1" operator="between">
      <formula>20</formula>
      <formula>49.99</formula>
    </cfRule>
    <cfRule type="cellIs" dxfId="1073" priority="242" stopIfTrue="1" operator="between">
      <formula>50</formula>
      <formula>9999</formula>
    </cfRule>
  </conditionalFormatting>
  <conditionalFormatting sqref="D71:D72">
    <cfRule type="cellIs" dxfId="1072" priority="243" stopIfTrue="1" operator="between">
      <formula>0</formula>
      <formula>19.99</formula>
    </cfRule>
    <cfRule type="cellIs" dxfId="1071" priority="244" stopIfTrue="1" operator="between">
      <formula>10</formula>
      <formula>24.99</formula>
    </cfRule>
    <cfRule type="cellIs" dxfId="1070" priority="245" stopIfTrue="1" operator="between">
      <formula>25</formula>
      <formula>99.99</formula>
    </cfRule>
  </conditionalFormatting>
  <conditionalFormatting sqref="E71:G72">
    <cfRule type="cellIs" dxfId="1069" priority="246" stopIfTrue="1" operator="between">
      <formula>0</formula>
      <formula>499.99</formula>
    </cfRule>
    <cfRule type="cellIs" dxfId="1068" priority="247" stopIfTrue="1" operator="between">
      <formula>500</formula>
      <formula>999.99</formula>
    </cfRule>
    <cfRule type="cellIs" dxfId="1067" priority="248" stopIfTrue="1" operator="between">
      <formula>1000</formula>
      <formula>9999.99</formula>
    </cfRule>
  </conditionalFormatting>
  <conditionalFormatting sqref="F71:F72">
    <cfRule type="cellIs" dxfId="1066" priority="249" operator="equal">
      <formula>$N$3</formula>
    </cfRule>
  </conditionalFormatting>
  <conditionalFormatting sqref="G71:G72">
    <cfRule type="cellIs" dxfId="1065" priority="250" operator="equal">
      <formula>$N$2</formula>
    </cfRule>
  </conditionalFormatting>
  <conditionalFormatting sqref="H1:H77 H94:H104 H117:H1048576">
    <cfRule type="cellIs" dxfId="1064" priority="251" operator="equal">
      <formula>"FB"</formula>
    </cfRule>
    <cfRule type="cellIs" dxfId="1063" priority="252" operator="equal">
      <formula>"RR"</formula>
    </cfRule>
    <cfRule type="cellIs" dxfId="1062" priority="253" operator="equal">
      <formula>"MTB"</formula>
    </cfRule>
  </conditionalFormatting>
  <conditionalFormatting sqref="I80:I93">
    <cfRule type="cellIs" dxfId="1061" priority="217" stopIfTrue="1" operator="between">
      <formula>0</formula>
      <formula>0.0999</formula>
    </cfRule>
    <cfRule type="cellIs" dxfId="1060" priority="218" stopIfTrue="1" operator="between">
      <formula>0.1</formula>
      <formula>0.1499</formula>
    </cfRule>
    <cfRule type="cellIs" dxfId="1059" priority="219" stopIfTrue="1" operator="between">
      <formula>0.15</formula>
      <formula>1</formula>
    </cfRule>
  </conditionalFormatting>
  <conditionalFormatting sqref="B80:B93">
    <cfRule type="cellIs" dxfId="1058" priority="220" stopIfTrue="1" operator="between">
      <formula>0</formula>
      <formula>0.0416550925925926</formula>
    </cfRule>
    <cfRule type="cellIs" dxfId="1057" priority="221" stopIfTrue="1" operator="between">
      <formula>0.0416666666666667</formula>
      <formula>0.0833217592592593</formula>
    </cfRule>
    <cfRule type="cellIs" dxfId="1056" priority="222" stopIfTrue="1" operator="between">
      <formula>0.0833333333333333</formula>
      <formula>4.16665509259259</formula>
    </cfRule>
  </conditionalFormatting>
  <conditionalFormatting sqref="C80:C93">
    <cfRule type="cellIs" dxfId="1055" priority="223" stopIfTrue="1" operator="between">
      <formula>0</formula>
      <formula>19.99</formula>
    </cfRule>
    <cfRule type="cellIs" dxfId="1054" priority="224" stopIfTrue="1" operator="between">
      <formula>20</formula>
      <formula>49.99</formula>
    </cfRule>
    <cfRule type="cellIs" dxfId="1053" priority="225" stopIfTrue="1" operator="between">
      <formula>50</formula>
      <formula>9999</formula>
    </cfRule>
  </conditionalFormatting>
  <conditionalFormatting sqref="D80:D93 D61:D68 D53:D56">
    <cfRule type="cellIs" dxfId="1052" priority="226" stopIfTrue="1" operator="between">
      <formula>0</formula>
      <formula>19.99</formula>
    </cfRule>
    <cfRule type="cellIs" dxfId="1051" priority="227" stopIfTrue="1" operator="between">
      <formula>10</formula>
      <formula>24.99</formula>
    </cfRule>
    <cfRule type="cellIs" dxfId="1050" priority="228" stopIfTrue="1" operator="between">
      <formula>25</formula>
      <formula>99.99</formula>
    </cfRule>
  </conditionalFormatting>
  <conditionalFormatting sqref="E80:G93">
    <cfRule type="cellIs" dxfId="1049" priority="229" stopIfTrue="1" operator="between">
      <formula>0</formula>
      <formula>499.99</formula>
    </cfRule>
    <cfRule type="cellIs" dxfId="1048" priority="230" stopIfTrue="1" operator="between">
      <formula>500</formula>
      <formula>999.99</formula>
    </cfRule>
    <cfRule type="cellIs" dxfId="1047" priority="231" stopIfTrue="1" operator="between">
      <formula>1000</formula>
      <formula>9999.99</formula>
    </cfRule>
  </conditionalFormatting>
  <conditionalFormatting sqref="F80:F93">
    <cfRule type="cellIs" dxfId="1046" priority="232" operator="equal">
      <formula>$N$3</formula>
    </cfRule>
  </conditionalFormatting>
  <conditionalFormatting sqref="G80:G93">
    <cfRule type="cellIs" dxfId="1045" priority="233" operator="equal">
      <formula>$N$2</formula>
    </cfRule>
  </conditionalFormatting>
  <conditionalFormatting sqref="I78:I79">
    <cfRule type="cellIs" dxfId="1044" priority="197" stopIfTrue="1" operator="between">
      <formula>0</formula>
      <formula>0.0999</formula>
    </cfRule>
    <cfRule type="cellIs" dxfId="1043" priority="198" stopIfTrue="1" operator="between">
      <formula>0.1</formula>
      <formula>0.1499</formula>
    </cfRule>
    <cfRule type="cellIs" dxfId="1042" priority="199" stopIfTrue="1" operator="between">
      <formula>0.15</formula>
      <formula>1</formula>
    </cfRule>
  </conditionalFormatting>
  <conditionalFormatting sqref="B78:B79">
    <cfRule type="cellIs" dxfId="1041" priority="200" stopIfTrue="1" operator="between">
      <formula>0</formula>
      <formula>0.0416550925925926</formula>
    </cfRule>
    <cfRule type="cellIs" dxfId="1040" priority="201" stopIfTrue="1" operator="between">
      <formula>0.0416666666666667</formula>
      <formula>0.0833217592592593</formula>
    </cfRule>
    <cfRule type="cellIs" dxfId="1039" priority="202" stopIfTrue="1" operator="between">
      <formula>0.0833333333333333</formula>
      <formula>4.16665509259259</formula>
    </cfRule>
  </conditionalFormatting>
  <conditionalFormatting sqref="C78:C79">
    <cfRule type="cellIs" dxfId="1038" priority="203" stopIfTrue="1" operator="between">
      <formula>0</formula>
      <formula>19.99</formula>
    </cfRule>
    <cfRule type="cellIs" dxfId="1037" priority="204" stopIfTrue="1" operator="between">
      <formula>20</formula>
      <formula>49.99</formula>
    </cfRule>
    <cfRule type="cellIs" dxfId="1036" priority="205" stopIfTrue="1" operator="between">
      <formula>50</formula>
      <formula>9999</formula>
    </cfRule>
  </conditionalFormatting>
  <conditionalFormatting sqref="D78:D79">
    <cfRule type="cellIs" dxfId="1035" priority="206" stopIfTrue="1" operator="between">
      <formula>0</formula>
      <formula>19.99</formula>
    </cfRule>
    <cfRule type="cellIs" dxfId="1034" priority="207" stopIfTrue="1" operator="between">
      <formula>10</formula>
      <formula>24.99</formula>
    </cfRule>
    <cfRule type="cellIs" dxfId="1033" priority="208" stopIfTrue="1" operator="between">
      <formula>25</formula>
      <formula>99.99</formula>
    </cfRule>
  </conditionalFormatting>
  <conditionalFormatting sqref="E78:G79">
    <cfRule type="cellIs" dxfId="1032" priority="209" stopIfTrue="1" operator="between">
      <formula>0</formula>
      <formula>499.99</formula>
    </cfRule>
    <cfRule type="cellIs" dxfId="1031" priority="210" stopIfTrue="1" operator="between">
      <formula>500</formula>
      <formula>999.99</formula>
    </cfRule>
    <cfRule type="cellIs" dxfId="1030" priority="211" stopIfTrue="1" operator="between">
      <formula>1000</formula>
      <formula>9999.99</formula>
    </cfRule>
  </conditionalFormatting>
  <conditionalFormatting sqref="F78:F79">
    <cfRule type="cellIs" dxfId="1029" priority="212" operator="equal">
      <formula>$N$3</formula>
    </cfRule>
  </conditionalFormatting>
  <conditionalFormatting sqref="G78:G79">
    <cfRule type="cellIs" dxfId="1028" priority="213" operator="equal">
      <formula>$N$2</formula>
    </cfRule>
  </conditionalFormatting>
  <conditionalFormatting sqref="H78:H93">
    <cfRule type="cellIs" dxfId="1027" priority="214" operator="equal">
      <formula>"FB"</formula>
    </cfRule>
    <cfRule type="cellIs" dxfId="1026" priority="215" operator="equal">
      <formula>"RR"</formula>
    </cfRule>
    <cfRule type="cellIs" dxfId="1025" priority="216" operator="equal">
      <formula>"MTB"</formula>
    </cfRule>
  </conditionalFormatting>
  <conditionalFormatting sqref="J80">
    <cfRule type="cellIs" dxfId="1024" priority="194" stopIfTrue="1" operator="between">
      <formula>0</formula>
      <formula>0.0999</formula>
    </cfRule>
    <cfRule type="cellIs" dxfId="1023" priority="195" stopIfTrue="1" operator="between">
      <formula>0.1</formula>
      <formula>0.1499</formula>
    </cfRule>
    <cfRule type="cellIs" dxfId="1022" priority="196" stopIfTrue="1" operator="between">
      <formula>0.15</formula>
      <formula>1</formula>
    </cfRule>
  </conditionalFormatting>
  <conditionalFormatting sqref="J81">
    <cfRule type="cellIs" dxfId="1021" priority="191" stopIfTrue="1" operator="between">
      <formula>0</formula>
      <formula>0.0999</formula>
    </cfRule>
    <cfRule type="cellIs" dxfId="1020" priority="192" stopIfTrue="1" operator="between">
      <formula>0.1</formula>
      <formula>0.1499</formula>
    </cfRule>
    <cfRule type="cellIs" dxfId="1019" priority="193" stopIfTrue="1" operator="between">
      <formula>0.15</formula>
      <formula>1</formula>
    </cfRule>
  </conditionalFormatting>
  <conditionalFormatting sqref="K88">
    <cfRule type="cellIs" dxfId="1018" priority="188" stopIfTrue="1" operator="between">
      <formula>0</formula>
      <formula>0.0999</formula>
    </cfRule>
    <cfRule type="cellIs" dxfId="1017" priority="189" stopIfTrue="1" operator="between">
      <formula>0.1</formula>
      <formula>0.1499</formula>
    </cfRule>
    <cfRule type="cellIs" dxfId="1016" priority="190" stopIfTrue="1" operator="between">
      <formula>0.15</formula>
      <formula>1</formula>
    </cfRule>
  </conditionalFormatting>
  <conditionalFormatting sqref="K91">
    <cfRule type="cellIs" dxfId="1015" priority="185" stopIfTrue="1" operator="between">
      <formula>0</formula>
      <formula>0.0999</formula>
    </cfRule>
    <cfRule type="cellIs" dxfId="1014" priority="186" stopIfTrue="1" operator="between">
      <formula>0.1</formula>
      <formula>0.1499</formula>
    </cfRule>
    <cfRule type="cellIs" dxfId="1013" priority="187" stopIfTrue="1" operator="between">
      <formula>0.15</formula>
      <formula>1</formula>
    </cfRule>
  </conditionalFormatting>
  <conditionalFormatting sqref="J92">
    <cfRule type="cellIs" dxfId="1012" priority="182" stopIfTrue="1" operator="between">
      <formula>0</formula>
      <formula>0.0999</formula>
    </cfRule>
    <cfRule type="cellIs" dxfId="1011" priority="183" stopIfTrue="1" operator="between">
      <formula>0.1</formula>
      <formula>0.1499</formula>
    </cfRule>
    <cfRule type="cellIs" dxfId="1010" priority="184" stopIfTrue="1" operator="between">
      <formula>0.15</formula>
      <formula>1</formula>
    </cfRule>
  </conditionalFormatting>
  <conditionalFormatting sqref="I95:I96">
    <cfRule type="cellIs" dxfId="1009" priority="145" stopIfTrue="1" operator="between">
      <formula>0</formula>
      <formula>0.0999</formula>
    </cfRule>
    <cfRule type="cellIs" dxfId="1008" priority="146" stopIfTrue="1" operator="between">
      <formula>0.1</formula>
      <formula>0.1499</formula>
    </cfRule>
    <cfRule type="cellIs" dxfId="1007" priority="147" stopIfTrue="1" operator="between">
      <formula>0.15</formula>
      <formula>1</formula>
    </cfRule>
  </conditionalFormatting>
  <conditionalFormatting sqref="B95:B96">
    <cfRule type="cellIs" dxfId="1006" priority="148" stopIfTrue="1" operator="between">
      <formula>0</formula>
      <formula>0.0416550925925926</formula>
    </cfRule>
    <cfRule type="cellIs" dxfId="1005" priority="149" stopIfTrue="1" operator="between">
      <formula>0.0416666666666667</formula>
      <formula>0.0833217592592593</formula>
    </cfRule>
    <cfRule type="cellIs" dxfId="1004" priority="150" stopIfTrue="1" operator="between">
      <formula>0.0833333333333333</formula>
      <formula>4.16665509259259</formula>
    </cfRule>
  </conditionalFormatting>
  <conditionalFormatting sqref="C95:C96">
    <cfRule type="cellIs" dxfId="1003" priority="151" stopIfTrue="1" operator="between">
      <formula>0</formula>
      <formula>19.99</formula>
    </cfRule>
    <cfRule type="cellIs" dxfId="1002" priority="152" stopIfTrue="1" operator="between">
      <formula>20</formula>
      <formula>49.99</formula>
    </cfRule>
    <cfRule type="cellIs" dxfId="1001" priority="153" stopIfTrue="1" operator="between">
      <formula>50</formula>
      <formula>9999</formula>
    </cfRule>
  </conditionalFormatting>
  <conditionalFormatting sqref="D95:D96">
    <cfRule type="cellIs" dxfId="1000" priority="154" stopIfTrue="1" operator="between">
      <formula>0</formula>
      <formula>19.99</formula>
    </cfRule>
    <cfRule type="cellIs" dxfId="999" priority="155" stopIfTrue="1" operator="between">
      <formula>10</formula>
      <formula>24.99</formula>
    </cfRule>
    <cfRule type="cellIs" dxfId="998" priority="156" stopIfTrue="1" operator="between">
      <formula>25</formula>
      <formula>99.99</formula>
    </cfRule>
  </conditionalFormatting>
  <conditionalFormatting sqref="E95:G96">
    <cfRule type="cellIs" dxfId="997" priority="157" stopIfTrue="1" operator="between">
      <formula>0</formula>
      <formula>499.99</formula>
    </cfRule>
    <cfRule type="cellIs" dxfId="996" priority="158" stopIfTrue="1" operator="between">
      <formula>500</formula>
      <formula>999.99</formula>
    </cfRule>
    <cfRule type="cellIs" dxfId="995" priority="159" stopIfTrue="1" operator="between">
      <formula>1000</formula>
      <formula>9999.99</formula>
    </cfRule>
  </conditionalFormatting>
  <conditionalFormatting sqref="F95:F96">
    <cfRule type="cellIs" dxfId="994" priority="160" operator="equal">
      <formula>$N$3</formula>
    </cfRule>
  </conditionalFormatting>
  <conditionalFormatting sqref="G95:G96">
    <cfRule type="cellIs" dxfId="993" priority="161" operator="equal">
      <formula>$N$2</formula>
    </cfRule>
  </conditionalFormatting>
  <conditionalFormatting sqref="J97">
    <cfRule type="cellIs" dxfId="992" priority="142" stopIfTrue="1" operator="between">
      <formula>0</formula>
      <formula>0.0999</formula>
    </cfRule>
    <cfRule type="cellIs" dxfId="991" priority="143" stopIfTrue="1" operator="between">
      <formula>0.1</formula>
      <formula>0.1499</formula>
    </cfRule>
    <cfRule type="cellIs" dxfId="990" priority="144" stopIfTrue="1" operator="between">
      <formula>0.15</formula>
      <formula>1</formula>
    </cfRule>
  </conditionalFormatting>
  <conditionalFormatting sqref="J98">
    <cfRule type="cellIs" dxfId="989" priority="139" stopIfTrue="1" operator="between">
      <formula>0</formula>
      <formula>0.0999</formula>
    </cfRule>
    <cfRule type="cellIs" dxfId="988" priority="140" stopIfTrue="1" operator="between">
      <formula>0.1</formula>
      <formula>0.1499</formula>
    </cfRule>
    <cfRule type="cellIs" dxfId="987" priority="141" stopIfTrue="1" operator="between">
      <formula>0.15</formula>
      <formula>1</formula>
    </cfRule>
  </conditionalFormatting>
  <conditionalFormatting sqref="I107:I116">
    <cfRule type="cellIs" dxfId="986" priority="113" stopIfTrue="1" operator="between">
      <formula>0</formula>
      <formula>0.0999</formula>
    </cfRule>
    <cfRule type="cellIs" dxfId="985" priority="114" stopIfTrue="1" operator="between">
      <formula>0.1</formula>
      <formula>0.1499</formula>
    </cfRule>
    <cfRule type="cellIs" dxfId="984" priority="115" stopIfTrue="1" operator="between">
      <formula>0.15</formula>
      <formula>1</formula>
    </cfRule>
  </conditionalFormatting>
  <conditionalFormatting sqref="B107:B116">
    <cfRule type="cellIs" dxfId="983" priority="116" stopIfTrue="1" operator="between">
      <formula>0</formula>
      <formula>0.0416550925925926</formula>
    </cfRule>
    <cfRule type="cellIs" dxfId="982" priority="117" stopIfTrue="1" operator="between">
      <formula>0.0416666666666667</formula>
      <formula>0.0833217592592593</formula>
    </cfRule>
    <cfRule type="cellIs" dxfId="981" priority="118" stopIfTrue="1" operator="between">
      <formula>0.0833333333333333</formula>
      <formula>4.16665509259259</formula>
    </cfRule>
  </conditionalFormatting>
  <conditionalFormatting sqref="C107:C116">
    <cfRule type="cellIs" dxfId="980" priority="119" stopIfTrue="1" operator="between">
      <formula>0</formula>
      <formula>19.99</formula>
    </cfRule>
    <cfRule type="cellIs" dxfId="979" priority="120" stopIfTrue="1" operator="between">
      <formula>20</formula>
      <formula>49.99</formula>
    </cfRule>
    <cfRule type="cellIs" dxfId="978" priority="121" stopIfTrue="1" operator="between">
      <formula>50</formula>
      <formula>9999</formula>
    </cfRule>
  </conditionalFormatting>
  <conditionalFormatting sqref="D107:D116">
    <cfRule type="cellIs" dxfId="977" priority="122" stopIfTrue="1" operator="between">
      <formula>0</formula>
      <formula>19.99</formula>
    </cfRule>
    <cfRule type="cellIs" dxfId="976" priority="123" stopIfTrue="1" operator="between">
      <formula>10</formula>
      <formula>24.99</formula>
    </cfRule>
    <cfRule type="cellIs" dxfId="975" priority="124" stopIfTrue="1" operator="between">
      <formula>25</formula>
      <formula>99.99</formula>
    </cfRule>
  </conditionalFormatting>
  <conditionalFormatting sqref="E107:G116">
    <cfRule type="cellIs" dxfId="974" priority="125" stopIfTrue="1" operator="between">
      <formula>0</formula>
      <formula>499.99</formula>
    </cfRule>
    <cfRule type="cellIs" dxfId="973" priority="126" stopIfTrue="1" operator="between">
      <formula>500</formula>
      <formula>999.99</formula>
    </cfRule>
    <cfRule type="cellIs" dxfId="972" priority="127" stopIfTrue="1" operator="between">
      <formula>1000</formula>
      <formula>9999.99</formula>
    </cfRule>
  </conditionalFormatting>
  <conditionalFormatting sqref="F107:F116">
    <cfRule type="cellIs" dxfId="971" priority="128" operator="equal">
      <formula>$N$3</formula>
    </cfRule>
  </conditionalFormatting>
  <conditionalFormatting sqref="G107:G116">
    <cfRule type="cellIs" dxfId="970" priority="129" operator="equal">
      <formula>$N$2</formula>
    </cfRule>
  </conditionalFormatting>
  <conditionalFormatting sqref="H105:H116">
    <cfRule type="cellIs" dxfId="969" priority="110" operator="equal">
      <formula>"FB"</formula>
    </cfRule>
    <cfRule type="cellIs" dxfId="968" priority="111" operator="equal">
      <formula>"RR"</formula>
    </cfRule>
    <cfRule type="cellIs" dxfId="967" priority="112" operator="equal">
      <formula>"MTB"</formula>
    </cfRule>
  </conditionalFormatting>
  <conditionalFormatting sqref="I105:I106">
    <cfRule type="cellIs" dxfId="966" priority="93" stopIfTrue="1" operator="between">
      <formula>0</formula>
      <formula>0.0999</formula>
    </cfRule>
    <cfRule type="cellIs" dxfId="965" priority="94" stopIfTrue="1" operator="between">
      <formula>0.1</formula>
      <formula>0.1499</formula>
    </cfRule>
    <cfRule type="cellIs" dxfId="964" priority="95" stopIfTrue="1" operator="between">
      <formula>0.15</formula>
      <formula>1</formula>
    </cfRule>
  </conditionalFormatting>
  <conditionalFormatting sqref="B105:B106">
    <cfRule type="cellIs" dxfId="963" priority="96" stopIfTrue="1" operator="between">
      <formula>0</formula>
      <formula>0.0416550925925926</formula>
    </cfRule>
    <cfRule type="cellIs" dxfId="962" priority="97" stopIfTrue="1" operator="between">
      <formula>0.0416666666666667</formula>
      <formula>0.0833217592592593</formula>
    </cfRule>
    <cfRule type="cellIs" dxfId="961" priority="98" stopIfTrue="1" operator="between">
      <formula>0.0833333333333333</formula>
      <formula>4.16665509259259</formula>
    </cfRule>
  </conditionalFormatting>
  <conditionalFormatting sqref="C105:C106">
    <cfRule type="cellIs" dxfId="960" priority="99" stopIfTrue="1" operator="between">
      <formula>0</formula>
      <formula>19.99</formula>
    </cfRule>
    <cfRule type="cellIs" dxfId="959" priority="100" stopIfTrue="1" operator="between">
      <formula>20</formula>
      <formula>49.99</formula>
    </cfRule>
    <cfRule type="cellIs" dxfId="958" priority="101" stopIfTrue="1" operator="between">
      <formula>50</formula>
      <formula>9999</formula>
    </cfRule>
  </conditionalFormatting>
  <conditionalFormatting sqref="D105:D106">
    <cfRule type="cellIs" dxfId="957" priority="102" stopIfTrue="1" operator="between">
      <formula>0</formula>
      <formula>19.99</formula>
    </cfRule>
    <cfRule type="cellIs" dxfId="956" priority="103" stopIfTrue="1" operator="between">
      <formula>10</formula>
      <formula>24.99</formula>
    </cfRule>
    <cfRule type="cellIs" dxfId="955" priority="104" stopIfTrue="1" operator="between">
      <formula>25</formula>
      <formula>99.99</formula>
    </cfRule>
  </conditionalFormatting>
  <conditionalFormatting sqref="E105:G106">
    <cfRule type="cellIs" dxfId="954" priority="105" stopIfTrue="1" operator="between">
      <formula>0</formula>
      <formula>499.99</formula>
    </cfRule>
    <cfRule type="cellIs" dxfId="953" priority="106" stopIfTrue="1" operator="between">
      <formula>500</formula>
      <formula>999.99</formula>
    </cfRule>
    <cfRule type="cellIs" dxfId="952" priority="107" stopIfTrue="1" operator="between">
      <formula>1000</formula>
      <formula>9999.99</formula>
    </cfRule>
  </conditionalFormatting>
  <conditionalFormatting sqref="F105:F106">
    <cfRule type="cellIs" dxfId="951" priority="108" operator="equal">
      <formula>$N$3</formula>
    </cfRule>
  </conditionalFormatting>
  <conditionalFormatting sqref="G105:G106">
    <cfRule type="cellIs" dxfId="950" priority="109" operator="equal">
      <formula>$N$2</formula>
    </cfRule>
  </conditionalFormatting>
  <conditionalFormatting sqref="J107">
    <cfRule type="cellIs" dxfId="949" priority="90" stopIfTrue="1" operator="between">
      <formula>0</formula>
      <formula>0.0999</formula>
    </cfRule>
    <cfRule type="cellIs" dxfId="948" priority="91" stopIfTrue="1" operator="between">
      <formula>0.1</formula>
      <formula>0.1499</formula>
    </cfRule>
    <cfRule type="cellIs" dxfId="947" priority="92" stopIfTrue="1" operator="between">
      <formula>0.15</formula>
      <formula>1</formula>
    </cfRule>
  </conditionalFormatting>
  <conditionalFormatting sqref="J108">
    <cfRule type="cellIs" dxfId="946" priority="87" stopIfTrue="1" operator="between">
      <formula>0</formula>
      <formula>0.0999</formula>
    </cfRule>
    <cfRule type="cellIs" dxfId="945" priority="88" stopIfTrue="1" operator="between">
      <formula>0.1</formula>
      <formula>0.1499</formula>
    </cfRule>
    <cfRule type="cellIs" dxfId="944" priority="89" stopIfTrue="1" operator="between">
      <formula>0.15</formula>
      <formula>1</formula>
    </cfRule>
  </conditionalFormatting>
  <conditionalFormatting sqref="I118:I119">
    <cfRule type="cellIs" dxfId="943" priority="50" stopIfTrue="1" operator="between">
      <formula>0</formula>
      <formula>0.0999</formula>
    </cfRule>
    <cfRule type="cellIs" dxfId="942" priority="51" stopIfTrue="1" operator="between">
      <formula>0.1</formula>
      <formula>0.1499</formula>
    </cfRule>
    <cfRule type="cellIs" dxfId="941" priority="52" stopIfTrue="1" operator="between">
      <formula>0.15</formula>
      <formula>1</formula>
    </cfRule>
  </conditionalFormatting>
  <conditionalFormatting sqref="B118:B119">
    <cfRule type="cellIs" dxfId="940" priority="53" stopIfTrue="1" operator="between">
      <formula>0</formula>
      <formula>0.0416550925925926</formula>
    </cfRule>
    <cfRule type="cellIs" dxfId="939" priority="54" stopIfTrue="1" operator="between">
      <formula>0.0416666666666667</formula>
      <formula>0.0833217592592593</formula>
    </cfRule>
    <cfRule type="cellIs" dxfId="938" priority="55" stopIfTrue="1" operator="between">
      <formula>0.0833333333333333</formula>
      <formula>4.16665509259259</formula>
    </cfRule>
  </conditionalFormatting>
  <conditionalFormatting sqref="C118:C119">
    <cfRule type="cellIs" dxfId="937" priority="56" stopIfTrue="1" operator="between">
      <formula>0</formula>
      <formula>19.99</formula>
    </cfRule>
    <cfRule type="cellIs" dxfId="936" priority="57" stopIfTrue="1" operator="between">
      <formula>20</formula>
      <formula>49.99</formula>
    </cfRule>
    <cfRule type="cellIs" dxfId="935" priority="58" stopIfTrue="1" operator="between">
      <formula>50</formula>
      <formula>9999</formula>
    </cfRule>
  </conditionalFormatting>
  <conditionalFormatting sqref="D118:D119">
    <cfRule type="cellIs" dxfId="934" priority="59" stopIfTrue="1" operator="between">
      <formula>0</formula>
      <formula>19.99</formula>
    </cfRule>
    <cfRule type="cellIs" dxfId="933" priority="60" stopIfTrue="1" operator="between">
      <formula>10</formula>
      <formula>24.99</formula>
    </cfRule>
    <cfRule type="cellIs" dxfId="932" priority="61" stopIfTrue="1" operator="between">
      <formula>25</formula>
      <formula>99.99</formula>
    </cfRule>
  </conditionalFormatting>
  <conditionalFormatting sqref="E118:G119">
    <cfRule type="cellIs" dxfId="931" priority="62" stopIfTrue="1" operator="between">
      <formula>0</formula>
      <formula>499.99</formula>
    </cfRule>
    <cfRule type="cellIs" dxfId="930" priority="63" stopIfTrue="1" operator="between">
      <formula>500</formula>
      <formula>999.99</formula>
    </cfRule>
    <cfRule type="cellIs" dxfId="929" priority="64" stopIfTrue="1" operator="between">
      <formula>1000</formula>
      <formula>9999.99</formula>
    </cfRule>
  </conditionalFormatting>
  <conditionalFormatting sqref="F118:F119">
    <cfRule type="cellIs" dxfId="928" priority="65" operator="equal">
      <formula>$N$3</formula>
    </cfRule>
  </conditionalFormatting>
  <conditionalFormatting sqref="G118:G119">
    <cfRule type="cellIs" dxfId="927" priority="66" operator="equal">
      <formula>$N$2</formula>
    </cfRule>
  </conditionalFormatting>
  <conditionalFormatting sqref="J120">
    <cfRule type="cellIs" dxfId="926" priority="47" stopIfTrue="1" operator="between">
      <formula>0</formula>
      <formula>0.0999</formula>
    </cfRule>
    <cfRule type="cellIs" dxfId="925" priority="48" stopIfTrue="1" operator="between">
      <formula>0.1</formula>
      <formula>0.1499</formula>
    </cfRule>
    <cfRule type="cellIs" dxfId="924" priority="49" stopIfTrue="1" operator="between">
      <formula>0.15</formula>
      <formula>1</formula>
    </cfRule>
  </conditionalFormatting>
  <conditionalFormatting sqref="J121">
    <cfRule type="cellIs" dxfId="923" priority="44" stopIfTrue="1" operator="between">
      <formula>0</formula>
      <formula>0.0999</formula>
    </cfRule>
    <cfRule type="cellIs" dxfId="922" priority="45" stopIfTrue="1" operator="between">
      <formula>0.1</formula>
      <formula>0.1499</formula>
    </cfRule>
    <cfRule type="cellIs" dxfId="921" priority="46" stopIfTrue="1" operator="between">
      <formula>0.15</formula>
      <formula>1</formula>
    </cfRule>
  </conditionalFormatting>
  <conditionalFormatting sqref="I130:I131">
    <cfRule type="cellIs" dxfId="920" priority="7" stopIfTrue="1" operator="between">
      <formula>0</formula>
      <formula>0.0999</formula>
    </cfRule>
    <cfRule type="cellIs" dxfId="919" priority="8" stopIfTrue="1" operator="between">
      <formula>0.1</formula>
      <formula>0.1499</formula>
    </cfRule>
    <cfRule type="cellIs" dxfId="918" priority="9" stopIfTrue="1" operator="between">
      <formula>0.15</formula>
      <formula>1</formula>
    </cfRule>
  </conditionalFormatting>
  <conditionalFormatting sqref="B130:B131">
    <cfRule type="cellIs" dxfId="917" priority="10" stopIfTrue="1" operator="between">
      <formula>0</formula>
      <formula>0.0416550925925926</formula>
    </cfRule>
    <cfRule type="cellIs" dxfId="916" priority="11" stopIfTrue="1" operator="between">
      <formula>0.0416666666666667</formula>
      <formula>0.0833217592592593</formula>
    </cfRule>
    <cfRule type="cellIs" dxfId="915" priority="12" stopIfTrue="1" operator="between">
      <formula>0.0833333333333333</formula>
      <formula>4.16665509259259</formula>
    </cfRule>
  </conditionalFormatting>
  <conditionalFormatting sqref="C130:C131">
    <cfRule type="cellIs" dxfId="914" priority="13" stopIfTrue="1" operator="between">
      <formula>0</formula>
      <formula>19.99</formula>
    </cfRule>
    <cfRule type="cellIs" dxfId="913" priority="14" stopIfTrue="1" operator="between">
      <formula>20</formula>
      <formula>49.99</formula>
    </cfRule>
    <cfRule type="cellIs" dxfId="912" priority="15" stopIfTrue="1" operator="between">
      <formula>50</formula>
      <formula>9999</formula>
    </cfRule>
  </conditionalFormatting>
  <conditionalFormatting sqref="D130:D131">
    <cfRule type="cellIs" dxfId="911" priority="16" stopIfTrue="1" operator="between">
      <formula>0</formula>
      <formula>19.99</formula>
    </cfRule>
    <cfRule type="cellIs" dxfId="910" priority="17" stopIfTrue="1" operator="between">
      <formula>10</formula>
      <formula>24.99</formula>
    </cfRule>
    <cfRule type="cellIs" dxfId="909" priority="18" stopIfTrue="1" operator="between">
      <formula>25</formula>
      <formula>99.99</formula>
    </cfRule>
  </conditionalFormatting>
  <conditionalFormatting sqref="E130:G131">
    <cfRule type="cellIs" dxfId="908" priority="19" stopIfTrue="1" operator="between">
      <formula>0</formula>
      <formula>499.99</formula>
    </cfRule>
    <cfRule type="cellIs" dxfId="907" priority="20" stopIfTrue="1" operator="between">
      <formula>500</formula>
      <formula>999.99</formula>
    </cfRule>
    <cfRule type="cellIs" dxfId="906" priority="21" stopIfTrue="1" operator="between">
      <formula>1000</formula>
      <formula>9999.99</formula>
    </cfRule>
  </conditionalFormatting>
  <conditionalFormatting sqref="F130:F131">
    <cfRule type="cellIs" dxfId="905" priority="22" operator="equal">
      <formula>$N$3</formula>
    </cfRule>
  </conditionalFormatting>
  <conditionalFormatting sqref="G130:G131">
    <cfRule type="cellIs" dxfId="904" priority="23" operator="equal">
      <formula>$N$2</formula>
    </cfRule>
  </conditionalFormatting>
  <conditionalFormatting sqref="J132">
    <cfRule type="cellIs" dxfId="903" priority="4" stopIfTrue="1" operator="between">
      <formula>0</formula>
      <formula>0.0999</formula>
    </cfRule>
    <cfRule type="cellIs" dxfId="902" priority="5" stopIfTrue="1" operator="between">
      <formula>0.1</formula>
      <formula>0.1499</formula>
    </cfRule>
    <cfRule type="cellIs" dxfId="901" priority="6" stopIfTrue="1" operator="between">
      <formula>0.15</formula>
      <formula>1</formula>
    </cfRule>
  </conditionalFormatting>
  <conditionalFormatting sqref="J133">
    <cfRule type="cellIs" dxfId="900" priority="1" stopIfTrue="1" operator="between">
      <formula>0</formula>
      <formula>0.0999</formula>
    </cfRule>
    <cfRule type="cellIs" dxfId="899" priority="2" stopIfTrue="1" operator="between">
      <formula>0.1</formula>
      <formula>0.1499</formula>
    </cfRule>
    <cfRule type="cellIs" dxfId="898" priority="3" stopIfTrue="1" operator="between">
      <formula>0.15</formula>
      <formula>1</formula>
    </cfRule>
  </conditionalFormatting>
  <hyperlinks>
    <hyperlink ref="I15:I18" r:id="rId1" display="Bild"/>
    <hyperlink ref="I14" r:id="rId2" tooltip="Blickrichtung Nord-Ost über Fischbach auf das Stuhleck " display="Bild"/>
    <hyperlink ref="I15" r:id="rId3" tooltip="Blick von der Burg Oberkapfenberg nach Nordwesten" display="Bild"/>
    <hyperlink ref="I17" r:id="rId4" tooltip="Blickrichung West von Seewiesen zum Hochschwab 2277 m." display="Bild"/>
    <hyperlink ref="I18" r:id="rId5" tooltip="Zwischen Mürzsteg und Niederalpl" display="Bild"/>
    <hyperlink ref="J18" r:id="rId6" tooltip="Die Österreichrundfahrt erreicht Langenwang am 13. Juli 2007." display="Bild"/>
    <hyperlink ref="I16" r:id="rId7" tooltip="Webcam"/>
    <hyperlink ref="J14" r:id="rId8" tooltip="Wikipedia-Artikel über das Stuhleck" display="Wiki"/>
    <hyperlink ref="A13" r:id="rId9"/>
    <hyperlink ref="J15" r:id="rId10" tooltip="Wikipedia-Artikel über Fischbach" display="Wiki"/>
    <hyperlink ref="J17" r:id="rId11" tooltip="Wikipedia-Artikel über Mariazell" display="Wiki"/>
    <hyperlink ref="K18" r:id="rId12" tooltip="Wikipedia-Artikel über Langenwang" display="Wiki"/>
    <hyperlink ref="I5:I9" r:id="rId13" display="Bild"/>
    <hyperlink ref="I6" r:id="rId14" display="Bild"/>
    <hyperlink ref="I4" r:id="rId15" display="Bild"/>
    <hyperlink ref="I5" r:id="rId16" display="Bild"/>
    <hyperlink ref="I9" r:id="rId17" display="Bild"/>
    <hyperlink ref="I7" r:id="rId18" display="Bild"/>
    <hyperlink ref="I29" r:id="rId19" display="Wiki"/>
    <hyperlink ref="I33" r:id="rId20" tooltip="Der höchste Punkt der Plaine Champagne auf Mauritius liegt auf ca. 744 m Höhe und kann mit einem Strassenrad erreicht werden." display="Bild"/>
    <hyperlink ref="I38" r:id="rId21" tooltip="Der höchste Punkt der Strecke liegt ca. 100 Meter höher als der Pass" display="Wiki"/>
    <hyperlink ref="I39" r:id="rId22" tooltip="Der nördlichste Gipfel des Monte Baldo ist der Monte Altissimo" display="Wiki"/>
    <hyperlink ref="I44" r:id="rId23" display="Bild"/>
    <hyperlink ref="I45" r:id="rId24" display="Bild"/>
    <hyperlink ref="G1" location="Urlaub!A42" display="Tenerife 1"/>
    <hyperlink ref="B1" location="Urlaub!A2" display="La Palma"/>
    <hyperlink ref="C1" location="Urlaub!A12" display="Steiermark"/>
    <hyperlink ref="D1" location="Urlaub!A21" display="Gran Canaria"/>
    <hyperlink ref="E1" location="Urlaub!A31" display="Mauritius"/>
    <hyperlink ref="F1" location="Urlaub!A36" display="Gardasee"/>
    <hyperlink ref="H1" location="Urlaub!A51" display="Tenerife 2"/>
    <hyperlink ref="I54" r:id="rId25" display="Bild"/>
    <hyperlink ref="I55" r:id="rId26" display="Bild"/>
    <hyperlink ref="I1" location="Urlaub!A59" display="Tenerife 3"/>
    <hyperlink ref="I68" r:id="rId27" display="Bild"/>
    <hyperlink ref="I61" r:id="rId28" display="Bild"/>
    <hyperlink ref="I62" r:id="rId29" display="Bild"/>
    <hyperlink ref="I63" r:id="rId30" display="Bild"/>
    <hyperlink ref="I65" r:id="rId31" display="Bild"/>
    <hyperlink ref="I66" r:id="rId32" display="Bild"/>
    <hyperlink ref="I67" r:id="rId33" display="Bild"/>
    <hyperlink ref="I8" r:id="rId34" display="Bild"/>
    <hyperlink ref="I64" r:id="rId35" display="Bild"/>
    <hyperlink ref="J54" r:id="rId36"/>
    <hyperlink ref="K54" r:id="rId37"/>
    <hyperlink ref="I56" r:id="rId38"/>
    <hyperlink ref="J56" r:id="rId39"/>
    <hyperlink ref="K56" r:id="rId40"/>
    <hyperlink ref="J63" r:id="rId41"/>
    <hyperlink ref="J65" r:id="rId42"/>
    <hyperlink ref="I24" r:id="rId43"/>
    <hyperlink ref="J24" r:id="rId44"/>
    <hyperlink ref="K24" r:id="rId45"/>
    <hyperlink ref="I23" r:id="rId46"/>
    <hyperlink ref="I25" r:id="rId47"/>
    <hyperlink ref="I26:I28" r:id="rId48" display="bild"/>
    <hyperlink ref="A1" location="Urlaub!A1" display="Inhalt"/>
    <hyperlink ref="K74" r:id="rId49"/>
    <hyperlink ref="J1" location="Urlaub!A71" display="Stelvio"/>
    <hyperlink ref="K73" r:id="rId50"/>
    <hyperlink ref="K75" r:id="rId51"/>
    <hyperlink ref="I73" r:id="rId52"/>
    <hyperlink ref="J73" r:id="rId53"/>
    <hyperlink ref="I74" r:id="rId54"/>
    <hyperlink ref="J74" r:id="rId55"/>
    <hyperlink ref="I75" r:id="rId56"/>
    <hyperlink ref="J75" r:id="rId57"/>
    <hyperlink ref="K1" location="Urlaub!A78" display="Tenerife 3"/>
    <hyperlink ref="I80" r:id="rId58" display="Bild"/>
    <hyperlink ref="I81" r:id="rId59"/>
    <hyperlink ref="I82" r:id="rId60"/>
    <hyperlink ref="J82" r:id="rId61"/>
    <hyperlink ref="I85" r:id="rId62"/>
    <hyperlink ref="I84" r:id="rId63"/>
    <hyperlink ref="I83" r:id="rId64"/>
    <hyperlink ref="I86" r:id="rId65"/>
    <hyperlink ref="I87" r:id="rId66"/>
    <hyperlink ref="J87" r:id="rId67"/>
    <hyperlink ref="I88" r:id="rId68"/>
    <hyperlink ref="J88" r:id="rId69"/>
    <hyperlink ref="I89" r:id="rId70"/>
    <hyperlink ref="J89" r:id="rId71"/>
    <hyperlink ref="I90" r:id="rId72"/>
    <hyperlink ref="J90" r:id="rId73"/>
    <hyperlink ref="I91" r:id="rId74"/>
    <hyperlink ref="J91" r:id="rId75"/>
    <hyperlink ref="I92" r:id="rId76"/>
    <hyperlink ref="J81" r:id="rId77" display="Bild"/>
    <hyperlink ref="K88" r:id="rId78" display="Bild"/>
    <hyperlink ref="K89" r:id="rId79" display="Bild"/>
    <hyperlink ref="K91" r:id="rId80" display="Bild"/>
    <hyperlink ref="J92" r:id="rId81"/>
    <hyperlink ref="K92" r:id="rId82"/>
    <hyperlink ref="I97" r:id="rId83" display="Bild"/>
    <hyperlink ref="I98" r:id="rId84"/>
    <hyperlink ref="I99" r:id="rId85"/>
    <hyperlink ref="I102" r:id="rId86"/>
    <hyperlink ref="J101" r:id="rId87"/>
    <hyperlink ref="J98" r:id="rId88" display="Bild"/>
  </hyperlinks>
  <pageMargins left="0.78740157499999996" right="0.78740157499999996" top="0.984251969" bottom="0.984251969" header="0.4921259845" footer="0.4921259845"/>
  <pageSetup paperSize="9" orientation="portrait" horizontalDpi="4294967293" r:id="rId89"/>
  <headerFooter alignWithMargins="0"/>
  <ignoredErrors>
    <ignoredError sqref="E10" formula="1"/>
  </ignoredErrors>
  <legacyDrawing r:id="rId9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249977111117893"/>
  </sheetPr>
  <dimension ref="A1:AK41"/>
  <sheetViews>
    <sheetView workbookViewId="0">
      <selection activeCell="Q1" sqref="Q1:T1"/>
    </sheetView>
  </sheetViews>
  <sheetFormatPr baseColWidth="10" defaultColWidth="11.42578125" defaultRowHeight="12.75" x14ac:dyDescent="0.2"/>
  <cols>
    <col min="1" max="1" width="7.140625" bestFit="1" customWidth="1"/>
    <col min="2" max="2" width="8.42578125" bestFit="1" customWidth="1"/>
    <col min="3" max="3" width="5.7109375" bestFit="1" customWidth="1"/>
    <col min="4" max="4" width="7.140625" bestFit="1" customWidth="1"/>
    <col min="5" max="5" width="7.85546875" bestFit="1" customWidth="1"/>
    <col min="6" max="6" width="5.7109375" bestFit="1" customWidth="1"/>
    <col min="7" max="7" width="7.140625" bestFit="1" customWidth="1"/>
    <col min="8" max="8" width="7.85546875" bestFit="1" customWidth="1"/>
    <col min="9" max="9" width="5.7109375" bestFit="1" customWidth="1"/>
    <col min="10" max="10" width="7.140625" bestFit="1" customWidth="1"/>
    <col min="11" max="11" width="7.85546875" bestFit="1" customWidth="1"/>
    <col min="12" max="12" width="5.7109375" bestFit="1" customWidth="1"/>
    <col min="13" max="13" width="7.140625" bestFit="1" customWidth="1"/>
    <col min="14" max="14" width="7.85546875" bestFit="1" customWidth="1"/>
    <col min="15" max="15" width="5.7109375" bestFit="1" customWidth="1"/>
    <col min="16" max="16" width="7.140625" bestFit="1" customWidth="1"/>
    <col min="17" max="17" width="7.85546875" bestFit="1" customWidth="1"/>
    <col min="18" max="18" width="5.7109375" bestFit="1" customWidth="1"/>
    <col min="19" max="19" width="7.140625" bestFit="1" customWidth="1"/>
    <col min="20" max="20" width="7.85546875" bestFit="1" customWidth="1"/>
    <col min="21" max="21" width="5.7109375" bestFit="1" customWidth="1"/>
    <col min="22" max="22" width="7.140625" bestFit="1" customWidth="1"/>
    <col min="23" max="23" width="7.85546875" bestFit="1" customWidth="1"/>
    <col min="24" max="24" width="5.7109375" bestFit="1" customWidth="1"/>
    <col min="25" max="25" width="8.42578125" bestFit="1" customWidth="1"/>
    <col min="26" max="26" width="7.85546875" bestFit="1" customWidth="1"/>
    <col min="27" max="27" width="5.7109375" bestFit="1" customWidth="1"/>
    <col min="28" max="28" width="6.7109375" bestFit="1" customWidth="1"/>
    <col min="29" max="29" width="7" bestFit="1" customWidth="1"/>
    <col min="30" max="30" width="6.5703125" bestFit="1" customWidth="1"/>
    <col min="31" max="31" width="8" bestFit="1" customWidth="1"/>
    <col min="32" max="32" width="7.85546875" bestFit="1" customWidth="1"/>
    <col min="33" max="33" width="5.7109375" bestFit="1" customWidth="1"/>
    <col min="34" max="34" width="8" bestFit="1" customWidth="1"/>
    <col min="35" max="35" width="7.85546875" bestFit="1" customWidth="1"/>
    <col min="36" max="36" width="5.7109375" bestFit="1" customWidth="1"/>
  </cols>
  <sheetData>
    <row r="1" spans="1:37" s="61" customFormat="1" ht="18" x14ac:dyDescent="0.25">
      <c r="A1" s="396" t="s">
        <v>243</v>
      </c>
      <c r="B1" s="396"/>
      <c r="C1" s="397">
        <f>AI35</f>
        <v>7508.340000000002</v>
      </c>
      <c r="D1" s="397"/>
      <c r="E1" s="402" t="s">
        <v>155</v>
      </c>
      <c r="F1" s="402"/>
      <c r="G1" s="403">
        <f>MAX(B37,E37,H37,K37,N37,Q37,T37,W37,Z37,AC37,AF37,AI37)</f>
        <v>207</v>
      </c>
      <c r="H1" s="403"/>
      <c r="I1" s="406" t="s">
        <v>163</v>
      </c>
      <c r="J1" s="406"/>
      <c r="K1" s="407">
        <f>MAX(B34,E34,H34,K34,N34,Q34,T34,W34,Z34,AC34,AF34,AI34)</f>
        <v>1014.3200000000002</v>
      </c>
      <c r="L1" s="407"/>
      <c r="M1" s="411" t="s">
        <v>194</v>
      </c>
      <c r="N1" s="411"/>
      <c r="O1" s="412">
        <f>MIN(B34,E34,H34,K34,N34,Q34,T34,W34,Z34,AC34,AF34,AI34)</f>
        <v>319.42</v>
      </c>
      <c r="P1" s="412"/>
      <c r="Q1" s="410" t="s">
        <v>334</v>
      </c>
      <c r="R1" s="410"/>
      <c r="S1" s="410"/>
      <c r="T1" s="410"/>
      <c r="U1" s="394" t="s">
        <v>194</v>
      </c>
      <c r="V1" s="394"/>
      <c r="W1" s="395">
        <f>MIN(C34,F34,I34,L34,O34,R34,U34,X34,AA34,AD34,AG34,AJ34)</f>
        <v>717</v>
      </c>
      <c r="X1" s="394"/>
      <c r="Y1" s="409" t="s">
        <v>163</v>
      </c>
      <c r="Z1" s="409"/>
      <c r="AA1" s="408">
        <f>MAX(C34,F34,I34,L34,O34,R34,U34,X34,AA34,AD34,AG34,AJ34)</f>
        <v>11209</v>
      </c>
      <c r="AB1" s="409"/>
      <c r="AC1" s="404" t="s">
        <v>156</v>
      </c>
      <c r="AD1" s="404"/>
      <c r="AE1" s="405">
        <f>MAX(C37,F37,I37,L37,O37,R37,U37,X37,AA37,AD37,AG37,AJ37)</f>
        <v>1750</v>
      </c>
      <c r="AF1" s="404"/>
      <c r="AG1" s="398" t="s">
        <v>2</v>
      </c>
      <c r="AH1" s="398"/>
      <c r="AI1" s="401">
        <f>AJ35</f>
        <v>70300</v>
      </c>
      <c r="AJ1" s="398"/>
      <c r="AK1" s="104"/>
    </row>
    <row r="2" spans="1:37" s="58" customFormat="1" ht="11.25" x14ac:dyDescent="0.2">
      <c r="A2" s="64" t="s">
        <v>94</v>
      </c>
      <c r="B2" s="49" t="s">
        <v>243</v>
      </c>
      <c r="C2" s="49" t="s">
        <v>2</v>
      </c>
      <c r="D2" s="70" t="s">
        <v>97</v>
      </c>
      <c r="E2" s="49" t="s">
        <v>243</v>
      </c>
      <c r="F2" s="49" t="s">
        <v>2</v>
      </c>
      <c r="G2" s="70" t="s">
        <v>98</v>
      </c>
      <c r="H2" s="49" t="s">
        <v>243</v>
      </c>
      <c r="I2" s="49" t="s">
        <v>2</v>
      </c>
      <c r="J2" s="70" t="s">
        <v>99</v>
      </c>
      <c r="K2" s="49" t="s">
        <v>243</v>
      </c>
      <c r="L2" s="49" t="s">
        <v>2</v>
      </c>
      <c r="M2" s="70" t="s">
        <v>100</v>
      </c>
      <c r="N2" s="49" t="s">
        <v>243</v>
      </c>
      <c r="O2" s="49" t="s">
        <v>2</v>
      </c>
      <c r="P2" s="70" t="s">
        <v>101</v>
      </c>
      <c r="Q2" s="49" t="s">
        <v>243</v>
      </c>
      <c r="R2" s="49" t="s">
        <v>2</v>
      </c>
      <c r="S2" s="70" t="s">
        <v>102</v>
      </c>
      <c r="T2" s="49" t="s">
        <v>243</v>
      </c>
      <c r="U2" s="49" t="s">
        <v>2</v>
      </c>
      <c r="V2" s="70" t="s">
        <v>103</v>
      </c>
      <c r="W2" s="49" t="s">
        <v>243</v>
      </c>
      <c r="X2" s="49" t="s">
        <v>2</v>
      </c>
      <c r="Y2" s="70" t="s">
        <v>104</v>
      </c>
      <c r="Z2" s="49" t="s">
        <v>243</v>
      </c>
      <c r="AA2" s="49" t="s">
        <v>2</v>
      </c>
      <c r="AB2" s="70" t="s">
        <v>105</v>
      </c>
      <c r="AC2" s="49" t="s">
        <v>243</v>
      </c>
      <c r="AD2" s="49" t="s">
        <v>2</v>
      </c>
      <c r="AE2" s="70" t="s">
        <v>106</v>
      </c>
      <c r="AF2" s="49" t="s">
        <v>243</v>
      </c>
      <c r="AG2" s="49" t="s">
        <v>2</v>
      </c>
      <c r="AH2" s="70" t="s">
        <v>107</v>
      </c>
      <c r="AI2" s="49" t="s">
        <v>243</v>
      </c>
      <c r="AJ2" s="49" t="s">
        <v>2</v>
      </c>
      <c r="AK2" s="105"/>
    </row>
    <row r="3" spans="1:37" s="54" customFormat="1" ht="11.25" x14ac:dyDescent="0.2">
      <c r="A3" s="86">
        <v>1</v>
      </c>
      <c r="B3" s="59">
        <v>12.31</v>
      </c>
      <c r="C3" s="60">
        <v>25</v>
      </c>
      <c r="D3" s="88">
        <v>1</v>
      </c>
      <c r="E3" s="59"/>
      <c r="F3" s="60"/>
      <c r="G3" s="88">
        <v>1</v>
      </c>
      <c r="H3" s="59"/>
      <c r="I3" s="60"/>
      <c r="J3" s="88">
        <v>1</v>
      </c>
      <c r="K3" s="59">
        <v>15.77</v>
      </c>
      <c r="L3" s="60">
        <v>45</v>
      </c>
      <c r="M3" s="88">
        <v>1</v>
      </c>
      <c r="N3" s="59"/>
      <c r="O3" s="60"/>
      <c r="P3" s="88">
        <v>1</v>
      </c>
      <c r="Q3" s="59">
        <v>53.15</v>
      </c>
      <c r="R3" s="60">
        <v>697</v>
      </c>
      <c r="S3" s="88">
        <v>1</v>
      </c>
      <c r="T3" s="59">
        <v>15.59</v>
      </c>
      <c r="U3" s="60">
        <v>350</v>
      </c>
      <c r="V3" s="88">
        <v>1</v>
      </c>
      <c r="W3" s="59">
        <v>61.1</v>
      </c>
      <c r="X3" s="60">
        <v>484</v>
      </c>
      <c r="Y3" s="88">
        <v>1</v>
      </c>
      <c r="Z3" s="59">
        <v>14.31</v>
      </c>
      <c r="AA3" s="60">
        <v>0</v>
      </c>
      <c r="AB3" s="88">
        <v>1</v>
      </c>
      <c r="AC3" s="59"/>
      <c r="AD3" s="60"/>
      <c r="AE3" s="88">
        <v>1</v>
      </c>
      <c r="AF3" s="59">
        <v>32.44</v>
      </c>
      <c r="AG3" s="60">
        <v>475</v>
      </c>
      <c r="AH3" s="88">
        <v>1</v>
      </c>
      <c r="AI3" s="59">
        <v>10.23</v>
      </c>
      <c r="AJ3" s="60">
        <v>35</v>
      </c>
      <c r="AK3" s="73"/>
    </row>
    <row r="4" spans="1:37" s="54" customFormat="1" ht="11.25" x14ac:dyDescent="0.2">
      <c r="A4" s="86">
        <f>A3+1</f>
        <v>2</v>
      </c>
      <c r="B4" s="59"/>
      <c r="C4" s="60"/>
      <c r="D4" s="88">
        <f>D3+1</f>
        <v>2</v>
      </c>
      <c r="E4" s="59">
        <v>13.64</v>
      </c>
      <c r="F4" s="60">
        <v>0</v>
      </c>
      <c r="G4" s="88">
        <f>G3+1</f>
        <v>2</v>
      </c>
      <c r="H4" s="59"/>
      <c r="I4" s="60"/>
      <c r="J4" s="88">
        <f>J3+1</f>
        <v>2</v>
      </c>
      <c r="K4" s="59"/>
      <c r="L4" s="60"/>
      <c r="M4" s="88">
        <f>M3+1</f>
        <v>2</v>
      </c>
      <c r="N4" s="59">
        <v>26.74</v>
      </c>
      <c r="O4" s="60">
        <v>406</v>
      </c>
      <c r="P4" s="88">
        <f>P3+1</f>
        <v>2</v>
      </c>
      <c r="Q4" s="59">
        <v>16.670000000000002</v>
      </c>
      <c r="R4" s="60">
        <v>143</v>
      </c>
      <c r="S4" s="88">
        <f>S3+1</f>
        <v>2</v>
      </c>
      <c r="T4" s="59"/>
      <c r="U4" s="60"/>
      <c r="V4" s="88">
        <f>V3+1</f>
        <v>2</v>
      </c>
      <c r="W4" s="59">
        <v>24.95</v>
      </c>
      <c r="X4" s="60">
        <v>334</v>
      </c>
      <c r="Y4" s="88">
        <f>Y3+1</f>
        <v>2</v>
      </c>
      <c r="Z4" s="59">
        <v>24.4</v>
      </c>
      <c r="AA4" s="60">
        <v>757</v>
      </c>
      <c r="AB4" s="88">
        <f>AB3+1</f>
        <v>2</v>
      </c>
      <c r="AC4" s="59">
        <v>22.72</v>
      </c>
      <c r="AD4" s="60">
        <v>10</v>
      </c>
      <c r="AE4" s="88">
        <f>AE3+1</f>
        <v>2</v>
      </c>
      <c r="AF4" s="59">
        <v>42.2</v>
      </c>
      <c r="AG4" s="60">
        <v>156</v>
      </c>
      <c r="AH4" s="88">
        <f>AH3+1</f>
        <v>2</v>
      </c>
      <c r="AI4" s="59"/>
      <c r="AJ4" s="60"/>
      <c r="AK4" s="73"/>
    </row>
    <row r="5" spans="1:37" s="54" customFormat="1" ht="11.25" x14ac:dyDescent="0.2">
      <c r="A5" s="86">
        <f t="shared" ref="A5:A33" si="0">A4+1</f>
        <v>3</v>
      </c>
      <c r="B5" s="59">
        <v>13.07</v>
      </c>
      <c r="C5" s="60">
        <v>77</v>
      </c>
      <c r="D5" s="88">
        <f t="shared" ref="D5:D31" si="1">D4+1</f>
        <v>3</v>
      </c>
      <c r="E5" s="59">
        <v>74.540000000000006</v>
      </c>
      <c r="F5" s="60">
        <v>115</v>
      </c>
      <c r="G5" s="88">
        <f t="shared" ref="G5:G33" si="2">G4+1</f>
        <v>3</v>
      </c>
      <c r="H5" s="59"/>
      <c r="I5" s="60"/>
      <c r="J5" s="88">
        <f t="shared" ref="J5:J32" si="3">J4+1</f>
        <v>3</v>
      </c>
      <c r="K5" s="59"/>
      <c r="L5" s="60"/>
      <c r="M5" s="88">
        <f t="shared" ref="M5:M33" si="4">M4+1</f>
        <v>3</v>
      </c>
      <c r="N5" s="59">
        <v>40.53</v>
      </c>
      <c r="O5" s="60">
        <v>843</v>
      </c>
      <c r="P5" s="88">
        <f t="shared" ref="P5:P32" si="5">P4+1</f>
        <v>3</v>
      </c>
      <c r="Q5" s="59">
        <v>16.5</v>
      </c>
      <c r="R5" s="60">
        <v>323</v>
      </c>
      <c r="S5" s="88">
        <f t="shared" ref="S5:S33" si="6">S4+1</f>
        <v>3</v>
      </c>
      <c r="T5" s="59"/>
      <c r="U5" s="60"/>
      <c r="V5" s="88">
        <f t="shared" ref="V5:V33" si="7">V4+1</f>
        <v>3</v>
      </c>
      <c r="W5" s="59">
        <v>44</v>
      </c>
      <c r="X5" s="60">
        <v>586</v>
      </c>
      <c r="Y5" s="88">
        <f t="shared" ref="Y5:Y32" si="8">Y4+1</f>
        <v>3</v>
      </c>
      <c r="Z5" s="59">
        <v>10</v>
      </c>
      <c r="AA5" s="60">
        <v>0</v>
      </c>
      <c r="AB5" s="88">
        <f t="shared" ref="AB5:AB33" si="9">AB4+1</f>
        <v>3</v>
      </c>
      <c r="AC5" s="59">
        <v>28.3</v>
      </c>
      <c r="AD5" s="60">
        <v>141</v>
      </c>
      <c r="AE5" s="88">
        <f t="shared" ref="AE5:AE32" si="10">AE4+1</f>
        <v>3</v>
      </c>
      <c r="AF5" s="59">
        <v>20.190000000000001</v>
      </c>
      <c r="AG5" s="60">
        <v>130</v>
      </c>
      <c r="AH5" s="88">
        <f t="shared" ref="AH5:AH33" si="11">AH4+1</f>
        <v>3</v>
      </c>
      <c r="AI5" s="59"/>
      <c r="AJ5" s="60"/>
      <c r="AK5" s="73"/>
    </row>
    <row r="6" spans="1:37" s="54" customFormat="1" ht="11.25" x14ac:dyDescent="0.2">
      <c r="A6" s="86">
        <f t="shared" si="0"/>
        <v>4</v>
      </c>
      <c r="B6" s="59"/>
      <c r="C6" s="60"/>
      <c r="D6" s="88">
        <f t="shared" si="1"/>
        <v>4</v>
      </c>
      <c r="E6" s="59">
        <v>16.14</v>
      </c>
      <c r="F6" s="60">
        <v>10</v>
      </c>
      <c r="G6" s="88">
        <f t="shared" si="2"/>
        <v>4</v>
      </c>
      <c r="H6" s="59"/>
      <c r="I6" s="60"/>
      <c r="J6" s="88">
        <f t="shared" si="3"/>
        <v>4</v>
      </c>
      <c r="K6" s="59">
        <v>22.31</v>
      </c>
      <c r="L6" s="60">
        <v>15</v>
      </c>
      <c r="M6" s="88">
        <f t="shared" si="4"/>
        <v>4</v>
      </c>
      <c r="N6" s="59">
        <v>30.02</v>
      </c>
      <c r="O6" s="60">
        <v>596</v>
      </c>
      <c r="P6" s="88">
        <f t="shared" si="5"/>
        <v>4</v>
      </c>
      <c r="Q6" s="59">
        <v>5</v>
      </c>
      <c r="R6" s="60">
        <v>0</v>
      </c>
      <c r="S6" s="88">
        <f t="shared" si="6"/>
        <v>4</v>
      </c>
      <c r="T6" s="59"/>
      <c r="U6" s="60"/>
      <c r="V6" s="88">
        <f t="shared" si="7"/>
        <v>4</v>
      </c>
      <c r="W6" s="59">
        <v>10.02</v>
      </c>
      <c r="X6" s="60">
        <v>30</v>
      </c>
      <c r="Y6" s="88">
        <f t="shared" si="8"/>
        <v>4</v>
      </c>
      <c r="Z6" s="59"/>
      <c r="AA6" s="60"/>
      <c r="AB6" s="88">
        <f t="shared" si="9"/>
        <v>4</v>
      </c>
      <c r="AC6" s="59">
        <v>26.42</v>
      </c>
      <c r="AD6" s="60">
        <v>122</v>
      </c>
      <c r="AE6" s="88">
        <f t="shared" si="10"/>
        <v>4</v>
      </c>
      <c r="AF6" s="59">
        <v>15.09</v>
      </c>
      <c r="AG6" s="60">
        <v>10</v>
      </c>
      <c r="AH6" s="88">
        <f t="shared" si="11"/>
        <v>4</v>
      </c>
      <c r="AI6" s="59"/>
      <c r="AJ6" s="60"/>
      <c r="AK6" s="73"/>
    </row>
    <row r="7" spans="1:37" s="54" customFormat="1" ht="11.25" x14ac:dyDescent="0.2">
      <c r="A7" s="86">
        <f t="shared" si="0"/>
        <v>5</v>
      </c>
      <c r="B7" s="59"/>
      <c r="C7" s="60"/>
      <c r="D7" s="88">
        <f t="shared" si="1"/>
        <v>5</v>
      </c>
      <c r="E7" s="59">
        <v>42.2</v>
      </c>
      <c r="F7" s="60">
        <v>156</v>
      </c>
      <c r="G7" s="88">
        <f t="shared" si="2"/>
        <v>5</v>
      </c>
      <c r="H7" s="59"/>
      <c r="I7" s="60"/>
      <c r="J7" s="88">
        <f t="shared" si="3"/>
        <v>5</v>
      </c>
      <c r="K7" s="59">
        <v>21.93</v>
      </c>
      <c r="L7" s="60">
        <v>10</v>
      </c>
      <c r="M7" s="88">
        <f t="shared" si="4"/>
        <v>5</v>
      </c>
      <c r="N7" s="59">
        <v>25.68</v>
      </c>
      <c r="O7" s="60">
        <v>15</v>
      </c>
      <c r="P7" s="88">
        <f t="shared" si="5"/>
        <v>5</v>
      </c>
      <c r="Q7" s="59">
        <v>20.49</v>
      </c>
      <c r="R7" s="60">
        <v>177</v>
      </c>
      <c r="S7" s="88">
        <f t="shared" si="6"/>
        <v>5</v>
      </c>
      <c r="T7" s="59">
        <v>49.35</v>
      </c>
      <c r="U7" s="60">
        <v>370</v>
      </c>
      <c r="V7" s="88">
        <f t="shared" si="7"/>
        <v>5</v>
      </c>
      <c r="W7" s="59">
        <v>5.09</v>
      </c>
      <c r="X7" s="60">
        <v>0</v>
      </c>
      <c r="Y7" s="88">
        <f t="shared" si="8"/>
        <v>5</v>
      </c>
      <c r="Z7" s="59">
        <v>31.91</v>
      </c>
      <c r="AA7" s="60">
        <v>680</v>
      </c>
      <c r="AB7" s="88">
        <f t="shared" si="9"/>
        <v>5</v>
      </c>
      <c r="AC7" s="59">
        <v>77.22</v>
      </c>
      <c r="AD7" s="60">
        <v>942</v>
      </c>
      <c r="AE7" s="88">
        <f t="shared" si="10"/>
        <v>5</v>
      </c>
      <c r="AF7" s="59">
        <v>20.78</v>
      </c>
      <c r="AG7" s="60">
        <v>50</v>
      </c>
      <c r="AH7" s="88">
        <f t="shared" si="11"/>
        <v>5</v>
      </c>
      <c r="AI7" s="59">
        <v>13.28</v>
      </c>
      <c r="AJ7" s="60">
        <v>35</v>
      </c>
      <c r="AK7" s="73"/>
    </row>
    <row r="8" spans="1:37" s="54" customFormat="1" ht="11.25" x14ac:dyDescent="0.2">
      <c r="A8" s="86">
        <f t="shared" si="0"/>
        <v>6</v>
      </c>
      <c r="B8" s="59">
        <v>14.27</v>
      </c>
      <c r="C8" s="60">
        <v>45</v>
      </c>
      <c r="D8" s="88">
        <f t="shared" si="1"/>
        <v>6</v>
      </c>
      <c r="E8" s="59"/>
      <c r="F8" s="60"/>
      <c r="G8" s="88">
        <f t="shared" si="2"/>
        <v>6</v>
      </c>
      <c r="H8" s="59">
        <v>11.88</v>
      </c>
      <c r="I8" s="60">
        <v>30</v>
      </c>
      <c r="J8" s="88">
        <f t="shared" si="3"/>
        <v>6</v>
      </c>
      <c r="K8" s="59">
        <v>22</v>
      </c>
      <c r="L8" s="60">
        <v>60</v>
      </c>
      <c r="M8" s="88">
        <f t="shared" si="4"/>
        <v>6</v>
      </c>
      <c r="N8" s="59">
        <v>20.37</v>
      </c>
      <c r="O8" s="60">
        <v>276</v>
      </c>
      <c r="P8" s="88">
        <f t="shared" si="5"/>
        <v>6</v>
      </c>
      <c r="Q8" s="59">
        <v>68.77</v>
      </c>
      <c r="R8" s="60">
        <v>1485</v>
      </c>
      <c r="S8" s="88">
        <f t="shared" si="6"/>
        <v>6</v>
      </c>
      <c r="T8" s="59">
        <v>40.47</v>
      </c>
      <c r="U8" s="60">
        <v>649</v>
      </c>
      <c r="V8" s="88">
        <f t="shared" si="7"/>
        <v>6</v>
      </c>
      <c r="W8" s="59"/>
      <c r="X8" s="60"/>
      <c r="Y8" s="88">
        <f t="shared" si="8"/>
        <v>6</v>
      </c>
      <c r="Z8" s="59">
        <v>40.159999999999997</v>
      </c>
      <c r="AA8" s="60">
        <v>76</v>
      </c>
      <c r="AB8" s="88">
        <f t="shared" si="9"/>
        <v>6</v>
      </c>
      <c r="AC8" s="59">
        <v>14.25</v>
      </c>
      <c r="AD8" s="60">
        <v>60</v>
      </c>
      <c r="AE8" s="88">
        <f t="shared" si="10"/>
        <v>6</v>
      </c>
      <c r="AF8" s="59">
        <v>23.81</v>
      </c>
      <c r="AG8" s="60">
        <v>15</v>
      </c>
      <c r="AH8" s="88">
        <f t="shared" si="11"/>
        <v>6</v>
      </c>
      <c r="AI8" s="59"/>
      <c r="AJ8" s="60"/>
      <c r="AK8" s="73"/>
    </row>
    <row r="9" spans="1:37" s="54" customFormat="1" ht="11.25" x14ac:dyDescent="0.2">
      <c r="A9" s="86">
        <f t="shared" si="0"/>
        <v>7</v>
      </c>
      <c r="B9" s="59"/>
      <c r="C9" s="60"/>
      <c r="D9" s="88">
        <f t="shared" si="1"/>
        <v>7</v>
      </c>
      <c r="E9" s="59">
        <v>20.79</v>
      </c>
      <c r="F9" s="60">
        <v>10</v>
      </c>
      <c r="G9" s="88">
        <f t="shared" si="2"/>
        <v>7</v>
      </c>
      <c r="H9" s="59">
        <v>16.649999999999999</v>
      </c>
      <c r="I9" s="60">
        <v>60</v>
      </c>
      <c r="J9" s="88">
        <f t="shared" si="3"/>
        <v>7</v>
      </c>
      <c r="K9" s="59"/>
      <c r="L9" s="60"/>
      <c r="M9" s="88">
        <f t="shared" si="4"/>
        <v>7</v>
      </c>
      <c r="N9" s="59">
        <v>21.55</v>
      </c>
      <c r="O9" s="60">
        <v>463</v>
      </c>
      <c r="P9" s="88">
        <f t="shared" si="5"/>
        <v>7</v>
      </c>
      <c r="Q9" s="59">
        <v>24.99</v>
      </c>
      <c r="R9" s="60">
        <v>309</v>
      </c>
      <c r="S9" s="88">
        <f t="shared" si="6"/>
        <v>7</v>
      </c>
      <c r="T9" s="59"/>
      <c r="U9" s="60"/>
      <c r="V9" s="88">
        <f t="shared" si="7"/>
        <v>7</v>
      </c>
      <c r="W9" s="59"/>
      <c r="X9" s="60"/>
      <c r="Y9" s="88">
        <f t="shared" si="8"/>
        <v>7</v>
      </c>
      <c r="Z9" s="59">
        <v>37.44</v>
      </c>
      <c r="AA9" s="60">
        <v>425</v>
      </c>
      <c r="AB9" s="88">
        <f t="shared" si="9"/>
        <v>7</v>
      </c>
      <c r="AC9" s="59">
        <v>16.63</v>
      </c>
      <c r="AD9" s="60">
        <v>5</v>
      </c>
      <c r="AE9" s="88">
        <f t="shared" si="10"/>
        <v>7</v>
      </c>
      <c r="AF9" s="59"/>
      <c r="AG9" s="60"/>
      <c r="AH9" s="88">
        <f t="shared" si="11"/>
        <v>7</v>
      </c>
      <c r="AI9" s="59">
        <v>25</v>
      </c>
      <c r="AJ9" s="60">
        <v>605</v>
      </c>
      <c r="AK9" s="73"/>
    </row>
    <row r="10" spans="1:37" s="54" customFormat="1" ht="11.25" x14ac:dyDescent="0.2">
      <c r="A10" s="86">
        <f t="shared" si="0"/>
        <v>8</v>
      </c>
      <c r="B10" s="59">
        <v>17.3</v>
      </c>
      <c r="C10" s="60">
        <v>60</v>
      </c>
      <c r="D10" s="88">
        <f t="shared" si="1"/>
        <v>8</v>
      </c>
      <c r="E10" s="59">
        <v>13.7</v>
      </c>
      <c r="F10" s="60">
        <v>110</v>
      </c>
      <c r="G10" s="88">
        <f t="shared" si="2"/>
        <v>8</v>
      </c>
      <c r="H10" s="59"/>
      <c r="I10" s="60"/>
      <c r="J10" s="88">
        <f t="shared" si="3"/>
        <v>8</v>
      </c>
      <c r="K10" s="59">
        <v>25.67</v>
      </c>
      <c r="L10" s="60">
        <v>15</v>
      </c>
      <c r="M10" s="88">
        <f t="shared" si="4"/>
        <v>8</v>
      </c>
      <c r="N10" s="59"/>
      <c r="O10" s="60"/>
      <c r="P10" s="88">
        <f t="shared" si="5"/>
        <v>8</v>
      </c>
      <c r="Q10" s="59">
        <v>20.66</v>
      </c>
      <c r="R10" s="60">
        <v>299</v>
      </c>
      <c r="S10" s="88">
        <f t="shared" si="6"/>
        <v>8</v>
      </c>
      <c r="T10" s="59">
        <v>10.7</v>
      </c>
      <c r="U10" s="60">
        <v>0</v>
      </c>
      <c r="V10" s="88">
        <f t="shared" si="7"/>
        <v>8</v>
      </c>
      <c r="W10" s="59">
        <v>26.2</v>
      </c>
      <c r="X10" s="60">
        <v>40</v>
      </c>
      <c r="Y10" s="88">
        <f t="shared" si="8"/>
        <v>8</v>
      </c>
      <c r="AB10" s="88">
        <f t="shared" si="9"/>
        <v>8</v>
      </c>
      <c r="AC10" s="59">
        <v>19.61</v>
      </c>
      <c r="AD10" s="60">
        <v>215</v>
      </c>
      <c r="AE10" s="88">
        <f t="shared" si="10"/>
        <v>8</v>
      </c>
      <c r="AF10" s="59">
        <v>39.69</v>
      </c>
      <c r="AG10" s="60">
        <v>585</v>
      </c>
      <c r="AH10" s="88">
        <f t="shared" si="11"/>
        <v>8</v>
      </c>
      <c r="AI10" s="59"/>
      <c r="AJ10" s="60"/>
      <c r="AK10" s="73"/>
    </row>
    <row r="11" spans="1:37" s="54" customFormat="1" ht="11.25" x14ac:dyDescent="0.2">
      <c r="A11" s="86">
        <f t="shared" si="0"/>
        <v>9</v>
      </c>
      <c r="B11" s="59">
        <v>20.32</v>
      </c>
      <c r="C11" s="60">
        <v>50</v>
      </c>
      <c r="D11" s="88">
        <f t="shared" si="1"/>
        <v>9</v>
      </c>
      <c r="E11" s="59">
        <v>78.14</v>
      </c>
      <c r="F11" s="60">
        <v>65</v>
      </c>
      <c r="G11" s="88">
        <f t="shared" si="2"/>
        <v>9</v>
      </c>
      <c r="H11" s="59">
        <v>22.55</v>
      </c>
      <c r="I11" s="60">
        <v>140</v>
      </c>
      <c r="J11" s="88">
        <f t="shared" si="3"/>
        <v>9</v>
      </c>
      <c r="K11" s="59">
        <v>8.5299999999999994</v>
      </c>
      <c r="L11" s="60">
        <v>0</v>
      </c>
      <c r="M11" s="88">
        <f t="shared" si="4"/>
        <v>9</v>
      </c>
      <c r="N11" s="59">
        <v>20.170000000000002</v>
      </c>
      <c r="O11" s="60">
        <v>409</v>
      </c>
      <c r="P11" s="88">
        <f t="shared" si="5"/>
        <v>9</v>
      </c>
      <c r="Q11" s="59">
        <v>20.37</v>
      </c>
      <c r="R11" s="60">
        <v>86</v>
      </c>
      <c r="S11" s="88">
        <f t="shared" si="6"/>
        <v>9</v>
      </c>
      <c r="T11" s="59">
        <v>9.69</v>
      </c>
      <c r="U11" s="60">
        <v>305</v>
      </c>
      <c r="V11" s="88">
        <f t="shared" si="7"/>
        <v>9</v>
      </c>
      <c r="W11" s="59">
        <v>89.5</v>
      </c>
      <c r="X11" s="60">
        <v>1140</v>
      </c>
      <c r="Y11" s="88">
        <f t="shared" si="8"/>
        <v>9</v>
      </c>
      <c r="Z11" s="59">
        <v>59.73</v>
      </c>
      <c r="AA11" s="60">
        <v>785</v>
      </c>
      <c r="AB11" s="88">
        <f t="shared" si="9"/>
        <v>9</v>
      </c>
      <c r="AC11" s="59">
        <v>15.09</v>
      </c>
      <c r="AD11" s="60">
        <v>40</v>
      </c>
      <c r="AE11" s="88">
        <f t="shared" si="10"/>
        <v>9</v>
      </c>
      <c r="AF11" s="59">
        <v>29.25</v>
      </c>
      <c r="AG11" s="60">
        <v>300</v>
      </c>
      <c r="AH11" s="88">
        <f t="shared" si="11"/>
        <v>9</v>
      </c>
      <c r="AI11" s="59">
        <v>24</v>
      </c>
      <c r="AJ11" s="60">
        <v>560</v>
      </c>
      <c r="AK11" s="73"/>
    </row>
    <row r="12" spans="1:37" s="54" customFormat="1" ht="11.25" x14ac:dyDescent="0.2">
      <c r="A12" s="86">
        <f t="shared" si="0"/>
        <v>10</v>
      </c>
      <c r="B12" s="59">
        <v>14.76</v>
      </c>
      <c r="C12" s="60">
        <v>350</v>
      </c>
      <c r="D12" s="88">
        <f t="shared" si="1"/>
        <v>10</v>
      </c>
      <c r="E12" s="59">
        <v>75.53</v>
      </c>
      <c r="F12" s="60">
        <v>145</v>
      </c>
      <c r="G12" s="88">
        <f t="shared" si="2"/>
        <v>10</v>
      </c>
      <c r="H12" s="59"/>
      <c r="I12" s="60"/>
      <c r="J12" s="88">
        <f t="shared" si="3"/>
        <v>10</v>
      </c>
      <c r="K12" s="59"/>
      <c r="L12" s="60"/>
      <c r="M12" s="88">
        <f t="shared" si="4"/>
        <v>10</v>
      </c>
      <c r="N12" s="59">
        <v>115</v>
      </c>
      <c r="O12" s="60">
        <v>1335</v>
      </c>
      <c r="P12" s="88">
        <f t="shared" si="5"/>
        <v>10</v>
      </c>
      <c r="Q12" s="59">
        <v>34.799999999999997</v>
      </c>
      <c r="R12" s="60">
        <v>756</v>
      </c>
      <c r="S12" s="88">
        <f t="shared" si="6"/>
        <v>10</v>
      </c>
      <c r="T12" s="59">
        <v>5</v>
      </c>
      <c r="U12" s="60">
        <v>0</v>
      </c>
      <c r="V12" s="88">
        <f t="shared" si="7"/>
        <v>10</v>
      </c>
      <c r="W12" s="59">
        <v>78.58</v>
      </c>
      <c r="X12" s="60">
        <v>795</v>
      </c>
      <c r="Y12" s="88">
        <f t="shared" si="8"/>
        <v>10</v>
      </c>
      <c r="AB12" s="88">
        <f t="shared" si="9"/>
        <v>10</v>
      </c>
      <c r="AC12" s="59">
        <v>17.88</v>
      </c>
      <c r="AD12" s="60">
        <v>152</v>
      </c>
      <c r="AE12" s="88">
        <f t="shared" si="10"/>
        <v>10</v>
      </c>
      <c r="AF12" s="59">
        <v>11.18</v>
      </c>
      <c r="AG12" s="60">
        <v>92</v>
      </c>
      <c r="AH12" s="88">
        <f t="shared" si="11"/>
        <v>10</v>
      </c>
      <c r="AI12" s="59">
        <v>31</v>
      </c>
      <c r="AJ12" s="60">
        <v>1260</v>
      </c>
      <c r="AK12" s="73"/>
    </row>
    <row r="13" spans="1:37" s="54" customFormat="1" ht="11.25" x14ac:dyDescent="0.2">
      <c r="A13" s="86">
        <f t="shared" si="0"/>
        <v>11</v>
      </c>
      <c r="B13" s="59"/>
      <c r="C13" s="60"/>
      <c r="D13" s="88">
        <f t="shared" si="1"/>
        <v>11</v>
      </c>
      <c r="E13" s="59"/>
      <c r="F13" s="60"/>
      <c r="G13" s="88">
        <f t="shared" si="2"/>
        <v>11</v>
      </c>
      <c r="H13" s="59"/>
      <c r="I13" s="60"/>
      <c r="J13" s="88">
        <f t="shared" si="3"/>
        <v>11</v>
      </c>
      <c r="K13" s="59"/>
      <c r="L13" s="60"/>
      <c r="M13" s="88">
        <f t="shared" si="4"/>
        <v>11</v>
      </c>
      <c r="N13" s="59">
        <v>22.54</v>
      </c>
      <c r="O13" s="60">
        <v>377</v>
      </c>
      <c r="P13" s="88">
        <f t="shared" si="5"/>
        <v>11</v>
      </c>
      <c r="Q13" s="59">
        <v>8.1300000000000008</v>
      </c>
      <c r="R13" s="60">
        <v>5</v>
      </c>
      <c r="S13" s="88">
        <f t="shared" si="6"/>
        <v>11</v>
      </c>
      <c r="T13" s="59">
        <v>25.81</v>
      </c>
      <c r="U13" s="60">
        <v>80</v>
      </c>
      <c r="V13" s="88">
        <f t="shared" si="7"/>
        <v>11</v>
      </c>
      <c r="W13" s="59">
        <v>12.63</v>
      </c>
      <c r="X13" s="60">
        <v>5</v>
      </c>
      <c r="Y13" s="88">
        <f t="shared" si="8"/>
        <v>11</v>
      </c>
      <c r="Z13" s="59">
        <v>33.01</v>
      </c>
      <c r="AA13" s="60">
        <v>464</v>
      </c>
      <c r="AB13" s="88">
        <f t="shared" si="9"/>
        <v>11</v>
      </c>
      <c r="AC13" s="59">
        <v>35</v>
      </c>
      <c r="AD13" s="60">
        <v>435</v>
      </c>
      <c r="AE13" s="88">
        <f t="shared" si="10"/>
        <v>11</v>
      </c>
      <c r="AF13" s="59"/>
      <c r="AG13" s="60"/>
      <c r="AH13" s="88">
        <f t="shared" si="11"/>
        <v>11</v>
      </c>
      <c r="AI13" s="59"/>
      <c r="AJ13" s="60"/>
      <c r="AK13" s="73"/>
    </row>
    <row r="14" spans="1:37" s="54" customFormat="1" ht="11.25" x14ac:dyDescent="0.2">
      <c r="A14" s="86">
        <f t="shared" si="0"/>
        <v>12</v>
      </c>
      <c r="B14" s="59"/>
      <c r="C14" s="60"/>
      <c r="D14" s="88">
        <f t="shared" si="1"/>
        <v>12</v>
      </c>
      <c r="E14" s="59">
        <v>20.56</v>
      </c>
      <c r="F14" s="60">
        <v>10</v>
      </c>
      <c r="G14" s="88">
        <f t="shared" si="2"/>
        <v>12</v>
      </c>
      <c r="H14" s="59"/>
      <c r="I14" s="60"/>
      <c r="J14" s="88">
        <f t="shared" si="3"/>
        <v>12</v>
      </c>
      <c r="K14" s="59">
        <v>88.62</v>
      </c>
      <c r="L14" s="60">
        <v>880</v>
      </c>
      <c r="M14" s="88">
        <f t="shared" si="4"/>
        <v>12</v>
      </c>
      <c r="N14" s="59">
        <v>17.25</v>
      </c>
      <c r="O14" s="60">
        <v>379</v>
      </c>
      <c r="P14" s="88">
        <f t="shared" si="5"/>
        <v>12</v>
      </c>
      <c r="Q14" s="59">
        <v>30.32</v>
      </c>
      <c r="R14" s="60">
        <v>15</v>
      </c>
      <c r="S14" s="88">
        <f t="shared" si="6"/>
        <v>12</v>
      </c>
      <c r="T14" s="59">
        <v>32.659999999999997</v>
      </c>
      <c r="U14" s="60">
        <v>470</v>
      </c>
      <c r="V14" s="88">
        <f t="shared" si="7"/>
        <v>12</v>
      </c>
      <c r="W14" s="59">
        <v>11.56</v>
      </c>
      <c r="X14" s="60">
        <v>35</v>
      </c>
      <c r="Y14" s="88">
        <f t="shared" si="8"/>
        <v>12</v>
      </c>
      <c r="Z14" s="59">
        <v>20.25</v>
      </c>
      <c r="AA14" s="60">
        <v>10</v>
      </c>
      <c r="AB14" s="88">
        <f t="shared" si="9"/>
        <v>12</v>
      </c>
      <c r="AC14" s="59">
        <v>41.21</v>
      </c>
      <c r="AD14" s="60">
        <v>560</v>
      </c>
      <c r="AE14" s="88">
        <f t="shared" si="10"/>
        <v>12</v>
      </c>
      <c r="AF14" s="59"/>
      <c r="AG14" s="60"/>
      <c r="AH14" s="88">
        <f t="shared" si="11"/>
        <v>12</v>
      </c>
      <c r="AI14" s="59">
        <v>8</v>
      </c>
      <c r="AJ14" s="60">
        <v>260</v>
      </c>
      <c r="AK14" s="73"/>
    </row>
    <row r="15" spans="1:37" s="54" customFormat="1" ht="11.25" x14ac:dyDescent="0.2">
      <c r="A15" s="86">
        <f t="shared" si="0"/>
        <v>13</v>
      </c>
      <c r="B15" s="59">
        <v>31</v>
      </c>
      <c r="C15" s="60">
        <v>885</v>
      </c>
      <c r="D15" s="88">
        <f t="shared" si="1"/>
        <v>13</v>
      </c>
      <c r="E15" s="59">
        <v>5.2</v>
      </c>
      <c r="F15" s="60">
        <v>0</v>
      </c>
      <c r="G15" s="88">
        <f t="shared" si="2"/>
        <v>13</v>
      </c>
      <c r="H15" s="59">
        <v>9.36</v>
      </c>
      <c r="I15" s="60">
        <v>0</v>
      </c>
      <c r="J15" s="88">
        <f t="shared" si="3"/>
        <v>13</v>
      </c>
      <c r="K15" s="59"/>
      <c r="L15" s="60"/>
      <c r="M15" s="88">
        <f t="shared" si="4"/>
        <v>13</v>
      </c>
      <c r="N15" s="59">
        <v>30.23</v>
      </c>
      <c r="O15" s="60">
        <v>15</v>
      </c>
      <c r="P15" s="88">
        <f t="shared" si="5"/>
        <v>13</v>
      </c>
      <c r="Q15" s="59">
        <v>43.44</v>
      </c>
      <c r="R15" s="60">
        <v>300</v>
      </c>
      <c r="S15" s="88">
        <f t="shared" si="6"/>
        <v>13</v>
      </c>
      <c r="T15" s="59">
        <v>21.41</v>
      </c>
      <c r="U15" s="60">
        <v>300</v>
      </c>
      <c r="V15" s="88">
        <f t="shared" si="7"/>
        <v>13</v>
      </c>
      <c r="W15" s="59">
        <v>13.44</v>
      </c>
      <c r="X15" s="60">
        <v>91</v>
      </c>
      <c r="Y15" s="88">
        <f t="shared" si="8"/>
        <v>13</v>
      </c>
      <c r="Z15" s="59"/>
      <c r="AA15" s="60"/>
      <c r="AB15" s="88">
        <f t="shared" si="9"/>
        <v>13</v>
      </c>
      <c r="AC15" s="59"/>
      <c r="AD15" s="60"/>
      <c r="AE15" s="88">
        <f t="shared" si="10"/>
        <v>13</v>
      </c>
      <c r="AF15" s="59"/>
      <c r="AG15" s="60"/>
      <c r="AH15" s="88">
        <f t="shared" si="11"/>
        <v>13</v>
      </c>
      <c r="AI15" s="59"/>
      <c r="AJ15" s="60"/>
      <c r="AK15" s="73"/>
    </row>
    <row r="16" spans="1:37" s="54" customFormat="1" ht="11.25" x14ac:dyDescent="0.2">
      <c r="A16" s="86">
        <f t="shared" si="0"/>
        <v>14</v>
      </c>
      <c r="B16" s="59">
        <v>33</v>
      </c>
      <c r="C16" s="60">
        <v>655</v>
      </c>
      <c r="D16" s="88">
        <f t="shared" si="1"/>
        <v>14</v>
      </c>
      <c r="E16" s="59">
        <v>22.72</v>
      </c>
      <c r="F16" s="60">
        <v>10</v>
      </c>
      <c r="G16" s="88">
        <f t="shared" si="2"/>
        <v>14</v>
      </c>
      <c r="H16" s="59">
        <v>6</v>
      </c>
      <c r="I16" s="60">
        <v>0</v>
      </c>
      <c r="J16" s="88">
        <f t="shared" si="3"/>
        <v>14</v>
      </c>
      <c r="K16" s="59"/>
      <c r="L16" s="60"/>
      <c r="M16" s="88">
        <f t="shared" si="4"/>
        <v>14</v>
      </c>
      <c r="N16" s="59">
        <v>10.47</v>
      </c>
      <c r="O16" s="60">
        <v>0</v>
      </c>
      <c r="P16" s="88">
        <f t="shared" si="5"/>
        <v>14</v>
      </c>
      <c r="Q16" s="59">
        <v>115</v>
      </c>
      <c r="R16" s="60">
        <v>1445</v>
      </c>
      <c r="S16" s="88">
        <f t="shared" si="6"/>
        <v>14</v>
      </c>
      <c r="T16" s="59">
        <v>30.06</v>
      </c>
      <c r="U16" s="60">
        <v>60</v>
      </c>
      <c r="V16" s="88">
        <f t="shared" si="7"/>
        <v>14</v>
      </c>
      <c r="W16" s="59">
        <v>31.06</v>
      </c>
      <c r="X16" s="60">
        <v>982</v>
      </c>
      <c r="Y16" s="88">
        <f t="shared" si="8"/>
        <v>14</v>
      </c>
      <c r="Z16" s="59">
        <v>36.85</v>
      </c>
      <c r="AA16" s="60">
        <v>830</v>
      </c>
      <c r="AB16" s="88">
        <f t="shared" si="9"/>
        <v>14</v>
      </c>
      <c r="AC16" s="59">
        <v>12.53</v>
      </c>
      <c r="AD16" s="60">
        <v>60</v>
      </c>
      <c r="AE16" s="88">
        <f t="shared" si="10"/>
        <v>14</v>
      </c>
      <c r="AF16" s="59">
        <v>22.57</v>
      </c>
      <c r="AG16" s="60">
        <v>299</v>
      </c>
      <c r="AH16" s="88">
        <f t="shared" si="11"/>
        <v>14</v>
      </c>
      <c r="AI16" s="59">
        <v>16.71</v>
      </c>
      <c r="AJ16" s="60">
        <v>32</v>
      </c>
      <c r="AK16" s="73"/>
    </row>
    <row r="17" spans="1:37" s="54" customFormat="1" ht="11.25" x14ac:dyDescent="0.2">
      <c r="A17" s="86">
        <f t="shared" si="0"/>
        <v>15</v>
      </c>
      <c r="B17" s="59">
        <v>5.6</v>
      </c>
      <c r="C17" s="60">
        <v>124</v>
      </c>
      <c r="D17" s="88">
        <f t="shared" si="1"/>
        <v>15</v>
      </c>
      <c r="E17" s="59">
        <v>10.73</v>
      </c>
      <c r="F17" s="60">
        <v>5</v>
      </c>
      <c r="G17" s="88">
        <f t="shared" si="2"/>
        <v>15</v>
      </c>
      <c r="H17" s="59">
        <v>68.02</v>
      </c>
      <c r="I17" s="60">
        <v>520</v>
      </c>
      <c r="J17" s="88">
        <f t="shared" si="3"/>
        <v>15</v>
      </c>
      <c r="K17" s="59">
        <v>14.48</v>
      </c>
      <c r="L17" s="60">
        <v>334</v>
      </c>
      <c r="M17" s="88">
        <f t="shared" si="4"/>
        <v>15</v>
      </c>
      <c r="N17" s="59">
        <v>10.17</v>
      </c>
      <c r="O17" s="60">
        <v>132</v>
      </c>
      <c r="P17" s="88">
        <f t="shared" si="5"/>
        <v>15</v>
      </c>
      <c r="Q17" s="59">
        <v>45.69</v>
      </c>
      <c r="R17" s="60">
        <v>120</v>
      </c>
      <c r="S17" s="88">
        <f t="shared" si="6"/>
        <v>15</v>
      </c>
      <c r="T17" s="59">
        <v>22.54</v>
      </c>
      <c r="U17" s="60">
        <v>333</v>
      </c>
      <c r="V17" s="88">
        <f t="shared" si="7"/>
        <v>15</v>
      </c>
      <c r="W17" s="59">
        <v>11.82</v>
      </c>
      <c r="X17" s="60">
        <v>50</v>
      </c>
      <c r="Y17" s="88">
        <f t="shared" si="8"/>
        <v>15</v>
      </c>
      <c r="Z17" s="59">
        <v>4.5999999999999996</v>
      </c>
      <c r="AA17" s="60">
        <v>0</v>
      </c>
      <c r="AB17" s="88">
        <f t="shared" si="9"/>
        <v>15</v>
      </c>
      <c r="AC17" s="59"/>
      <c r="AD17" s="60"/>
      <c r="AE17" s="88">
        <f t="shared" si="10"/>
        <v>15</v>
      </c>
      <c r="AF17" s="59">
        <v>82.72</v>
      </c>
      <c r="AG17" s="60">
        <v>70</v>
      </c>
      <c r="AH17" s="88">
        <f t="shared" si="11"/>
        <v>15</v>
      </c>
      <c r="AI17" s="59">
        <v>11.3</v>
      </c>
      <c r="AJ17" s="60">
        <v>15</v>
      </c>
      <c r="AK17" s="73"/>
    </row>
    <row r="18" spans="1:37" s="54" customFormat="1" ht="11.25" x14ac:dyDescent="0.2">
      <c r="A18" s="86">
        <f t="shared" si="0"/>
        <v>16</v>
      </c>
      <c r="B18" s="59">
        <v>39.200000000000003</v>
      </c>
      <c r="C18" s="60">
        <v>1100</v>
      </c>
      <c r="D18" s="88">
        <f t="shared" si="1"/>
        <v>16</v>
      </c>
      <c r="E18" s="59"/>
      <c r="F18" s="60"/>
      <c r="G18" s="88">
        <f t="shared" si="2"/>
        <v>16</v>
      </c>
      <c r="H18" s="59">
        <v>5</v>
      </c>
      <c r="I18" s="60">
        <v>0</v>
      </c>
      <c r="J18" s="88">
        <f t="shared" si="3"/>
        <v>16</v>
      </c>
      <c r="K18" s="59">
        <v>7</v>
      </c>
      <c r="L18" s="60">
        <v>0</v>
      </c>
      <c r="M18" s="88">
        <f t="shared" si="4"/>
        <v>16</v>
      </c>
      <c r="N18" s="59">
        <v>16.850000000000001</v>
      </c>
      <c r="O18" s="60">
        <v>528</v>
      </c>
      <c r="P18" s="88">
        <f t="shared" si="5"/>
        <v>16</v>
      </c>
      <c r="Q18" s="59">
        <v>21.06</v>
      </c>
      <c r="R18" s="60">
        <v>98</v>
      </c>
      <c r="S18" s="88">
        <f t="shared" si="6"/>
        <v>16</v>
      </c>
      <c r="T18" s="59">
        <v>26.42</v>
      </c>
      <c r="U18" s="60">
        <v>359</v>
      </c>
      <c r="V18" s="88">
        <f t="shared" si="7"/>
        <v>16</v>
      </c>
      <c r="W18" s="59"/>
      <c r="X18" s="60"/>
      <c r="Y18" s="88">
        <f t="shared" si="8"/>
        <v>16</v>
      </c>
      <c r="Z18" s="59">
        <v>6.5</v>
      </c>
      <c r="AA18" s="60">
        <v>15</v>
      </c>
      <c r="AB18" s="88">
        <f t="shared" si="9"/>
        <v>16</v>
      </c>
      <c r="AC18" s="59">
        <v>13.07</v>
      </c>
      <c r="AD18" s="60">
        <v>15</v>
      </c>
      <c r="AE18" s="88">
        <f t="shared" si="10"/>
        <v>16</v>
      </c>
      <c r="AF18" s="59"/>
      <c r="AG18" s="60"/>
      <c r="AH18" s="88">
        <f t="shared" si="11"/>
        <v>16</v>
      </c>
      <c r="AI18" s="59">
        <v>10.33</v>
      </c>
      <c r="AJ18" s="60">
        <v>35</v>
      </c>
      <c r="AK18" s="73"/>
    </row>
    <row r="19" spans="1:37" s="54" customFormat="1" ht="11.25" x14ac:dyDescent="0.2">
      <c r="A19" s="86">
        <f t="shared" si="0"/>
        <v>17</v>
      </c>
      <c r="B19" s="59"/>
      <c r="C19" s="60"/>
      <c r="D19" s="88">
        <f t="shared" si="1"/>
        <v>17</v>
      </c>
      <c r="E19" s="59"/>
      <c r="F19" s="60"/>
      <c r="G19" s="88">
        <f t="shared" si="2"/>
        <v>17</v>
      </c>
      <c r="H19" s="59"/>
      <c r="I19" s="60"/>
      <c r="J19" s="88">
        <f t="shared" si="3"/>
        <v>17</v>
      </c>
      <c r="K19" s="59"/>
      <c r="L19" s="60"/>
      <c r="M19" s="88">
        <f t="shared" si="4"/>
        <v>17</v>
      </c>
      <c r="N19" s="59">
        <v>25.89</v>
      </c>
      <c r="O19" s="60">
        <v>402</v>
      </c>
      <c r="P19" s="88">
        <f t="shared" si="5"/>
        <v>17</v>
      </c>
      <c r="Q19" s="59">
        <v>60.12</v>
      </c>
      <c r="R19" s="60">
        <v>30</v>
      </c>
      <c r="S19" s="88">
        <f t="shared" si="6"/>
        <v>17</v>
      </c>
      <c r="T19" s="59">
        <v>10.06</v>
      </c>
      <c r="U19" s="60">
        <v>60</v>
      </c>
      <c r="V19" s="88">
        <f t="shared" si="7"/>
        <v>17</v>
      </c>
      <c r="W19" s="59"/>
      <c r="X19" s="60"/>
      <c r="Y19" s="88">
        <f t="shared" si="8"/>
        <v>17</v>
      </c>
      <c r="Z19" s="59">
        <v>25.52</v>
      </c>
      <c r="AA19" s="60">
        <v>338</v>
      </c>
      <c r="AB19" s="88">
        <f t="shared" si="9"/>
        <v>17</v>
      </c>
      <c r="AC19" s="59">
        <v>21.66</v>
      </c>
      <c r="AD19" s="60">
        <v>10</v>
      </c>
      <c r="AE19" s="88">
        <f t="shared" si="10"/>
        <v>17</v>
      </c>
      <c r="AF19" s="59">
        <v>12.95</v>
      </c>
      <c r="AG19" s="60">
        <v>30</v>
      </c>
      <c r="AH19" s="88">
        <f t="shared" si="11"/>
        <v>17</v>
      </c>
      <c r="AI19" s="59"/>
      <c r="AJ19" s="60"/>
      <c r="AK19" s="73"/>
    </row>
    <row r="20" spans="1:37" s="54" customFormat="1" ht="11.25" x14ac:dyDescent="0.2">
      <c r="A20" s="86">
        <f t="shared" si="0"/>
        <v>18</v>
      </c>
      <c r="B20" s="59">
        <v>57</v>
      </c>
      <c r="C20" s="60">
        <v>1750</v>
      </c>
      <c r="D20" s="88">
        <f t="shared" si="1"/>
        <v>18</v>
      </c>
      <c r="E20" s="59"/>
      <c r="F20" s="60"/>
      <c r="G20" s="88">
        <f t="shared" si="2"/>
        <v>18</v>
      </c>
      <c r="H20" s="59">
        <v>5</v>
      </c>
      <c r="I20" s="60">
        <v>0</v>
      </c>
      <c r="J20" s="88">
        <f t="shared" si="3"/>
        <v>18</v>
      </c>
      <c r="K20" s="59">
        <v>26.03</v>
      </c>
      <c r="L20" s="60">
        <v>185</v>
      </c>
      <c r="M20" s="88">
        <f t="shared" si="4"/>
        <v>18</v>
      </c>
      <c r="N20" s="59">
        <v>17.21</v>
      </c>
      <c r="O20" s="60">
        <v>306</v>
      </c>
      <c r="P20" s="88">
        <f t="shared" si="5"/>
        <v>18</v>
      </c>
      <c r="Q20" s="59"/>
      <c r="R20" s="60"/>
      <c r="S20" s="88">
        <f t="shared" si="6"/>
        <v>18</v>
      </c>
      <c r="T20" s="59">
        <v>22.53</v>
      </c>
      <c r="U20" s="60">
        <v>377</v>
      </c>
      <c r="V20" s="88">
        <f t="shared" si="7"/>
        <v>18</v>
      </c>
      <c r="W20" s="59"/>
      <c r="X20" s="60"/>
      <c r="Y20" s="88">
        <f t="shared" si="8"/>
        <v>18</v>
      </c>
      <c r="Z20" s="59">
        <v>10.64</v>
      </c>
      <c r="AA20" s="60">
        <v>35</v>
      </c>
      <c r="AB20" s="88">
        <f t="shared" si="9"/>
        <v>18</v>
      </c>
      <c r="AC20" s="59">
        <v>45.35</v>
      </c>
      <c r="AD20" s="60">
        <v>680</v>
      </c>
      <c r="AE20" s="88">
        <f t="shared" si="10"/>
        <v>18</v>
      </c>
      <c r="AF20" s="59">
        <v>11.16</v>
      </c>
      <c r="AG20" s="60">
        <v>10</v>
      </c>
      <c r="AH20" s="88">
        <f t="shared" si="11"/>
        <v>18</v>
      </c>
      <c r="AI20" s="59">
        <v>11.89</v>
      </c>
      <c r="AJ20" s="60">
        <v>30</v>
      </c>
      <c r="AK20" s="73"/>
    </row>
    <row r="21" spans="1:37" s="54" customFormat="1" ht="11.25" x14ac:dyDescent="0.2">
      <c r="A21" s="86">
        <f t="shared" si="0"/>
        <v>19</v>
      </c>
      <c r="B21" s="59"/>
      <c r="C21" s="60"/>
      <c r="D21" s="88">
        <f t="shared" si="1"/>
        <v>19</v>
      </c>
      <c r="E21" s="59"/>
      <c r="F21" s="60"/>
      <c r="G21" s="88">
        <f t="shared" si="2"/>
        <v>19</v>
      </c>
      <c r="H21" s="59"/>
      <c r="I21" s="60"/>
      <c r="J21" s="88">
        <f t="shared" si="3"/>
        <v>19</v>
      </c>
      <c r="K21" s="59">
        <v>12.7</v>
      </c>
      <c r="L21" s="60">
        <v>0</v>
      </c>
      <c r="M21" s="88">
        <f t="shared" si="4"/>
        <v>19</v>
      </c>
      <c r="N21" s="59">
        <v>30.32</v>
      </c>
      <c r="O21" s="60">
        <v>15</v>
      </c>
      <c r="P21" s="88">
        <f t="shared" si="5"/>
        <v>19</v>
      </c>
      <c r="Q21" s="59">
        <v>37.21</v>
      </c>
      <c r="R21" s="60">
        <v>913</v>
      </c>
      <c r="S21" s="88">
        <f t="shared" si="6"/>
        <v>19</v>
      </c>
      <c r="T21" s="59">
        <v>29.72</v>
      </c>
      <c r="U21" s="60">
        <v>200</v>
      </c>
      <c r="V21" s="88">
        <f t="shared" si="7"/>
        <v>19</v>
      </c>
      <c r="W21" s="59"/>
      <c r="X21" s="60"/>
      <c r="Y21" s="88">
        <f t="shared" si="8"/>
        <v>19</v>
      </c>
      <c r="Z21" s="59">
        <v>20.86</v>
      </c>
      <c r="AA21" s="60">
        <v>15</v>
      </c>
      <c r="AB21" s="88">
        <f t="shared" si="9"/>
        <v>19</v>
      </c>
      <c r="AC21" s="59">
        <v>41.1</v>
      </c>
      <c r="AD21" s="60">
        <v>1005</v>
      </c>
      <c r="AE21" s="88">
        <f t="shared" si="10"/>
        <v>19</v>
      </c>
      <c r="AF21" s="59">
        <v>11.32</v>
      </c>
      <c r="AG21" s="60">
        <v>25</v>
      </c>
      <c r="AH21" s="88">
        <f t="shared" si="11"/>
        <v>19</v>
      </c>
      <c r="AI21" s="59">
        <v>13.68</v>
      </c>
      <c r="AJ21" s="60">
        <v>33</v>
      </c>
      <c r="AK21" s="73"/>
    </row>
    <row r="22" spans="1:37" s="54" customFormat="1" ht="11.25" x14ac:dyDescent="0.2">
      <c r="A22" s="86">
        <f t="shared" si="0"/>
        <v>20</v>
      </c>
      <c r="B22" s="59">
        <v>14.68</v>
      </c>
      <c r="C22" s="60">
        <v>20</v>
      </c>
      <c r="D22" s="88">
        <f t="shared" si="1"/>
        <v>20</v>
      </c>
      <c r="E22" s="59"/>
      <c r="F22" s="60"/>
      <c r="G22" s="88">
        <f t="shared" si="2"/>
        <v>20</v>
      </c>
      <c r="H22" s="59"/>
      <c r="I22" s="60"/>
      <c r="J22" s="88">
        <f t="shared" si="3"/>
        <v>20</v>
      </c>
      <c r="K22" s="59">
        <v>119.08</v>
      </c>
      <c r="L22" s="60">
        <v>940</v>
      </c>
      <c r="M22" s="88">
        <f t="shared" si="4"/>
        <v>20</v>
      </c>
      <c r="N22" s="59">
        <v>5</v>
      </c>
      <c r="O22" s="60">
        <v>0</v>
      </c>
      <c r="P22" s="88">
        <f t="shared" si="5"/>
        <v>20</v>
      </c>
      <c r="Q22" s="59">
        <v>10</v>
      </c>
      <c r="R22" s="60">
        <v>5</v>
      </c>
      <c r="S22" s="88">
        <f t="shared" si="6"/>
        <v>20</v>
      </c>
      <c r="T22" s="59">
        <v>51.58</v>
      </c>
      <c r="U22" s="60">
        <v>955</v>
      </c>
      <c r="V22" s="88">
        <f t="shared" si="7"/>
        <v>20</v>
      </c>
      <c r="W22" s="59">
        <v>20</v>
      </c>
      <c r="X22" s="60">
        <v>40</v>
      </c>
      <c r="Y22" s="88">
        <f t="shared" si="8"/>
        <v>20</v>
      </c>
      <c r="Z22" s="59">
        <v>28.25</v>
      </c>
      <c r="AA22" s="60">
        <v>503</v>
      </c>
      <c r="AB22" s="88">
        <f t="shared" si="9"/>
        <v>20</v>
      </c>
      <c r="AC22" s="59">
        <v>16.5</v>
      </c>
      <c r="AD22" s="60">
        <v>20</v>
      </c>
      <c r="AE22" s="88">
        <f t="shared" si="10"/>
        <v>20</v>
      </c>
      <c r="AF22" s="59">
        <v>13.45</v>
      </c>
      <c r="AG22" s="60">
        <v>5</v>
      </c>
      <c r="AH22" s="88">
        <f t="shared" si="11"/>
        <v>20</v>
      </c>
      <c r="AI22" s="59">
        <v>10</v>
      </c>
      <c r="AJ22" s="60">
        <v>13</v>
      </c>
      <c r="AK22" s="73"/>
    </row>
    <row r="23" spans="1:37" s="54" customFormat="1" ht="11.25" x14ac:dyDescent="0.2">
      <c r="A23" s="86">
        <f t="shared" si="0"/>
        <v>21</v>
      </c>
      <c r="B23" s="59">
        <v>12.21</v>
      </c>
      <c r="C23" s="60">
        <v>0</v>
      </c>
      <c r="D23" s="88">
        <f t="shared" si="1"/>
        <v>21</v>
      </c>
      <c r="E23" s="59"/>
      <c r="F23" s="60"/>
      <c r="G23" s="88">
        <f t="shared" si="2"/>
        <v>21</v>
      </c>
      <c r="H23" s="59"/>
      <c r="I23" s="60"/>
      <c r="J23" s="88">
        <f t="shared" si="3"/>
        <v>21</v>
      </c>
      <c r="K23" s="59">
        <v>25.65</v>
      </c>
      <c r="L23" s="60">
        <v>10</v>
      </c>
      <c r="M23" s="88">
        <f t="shared" si="4"/>
        <v>21</v>
      </c>
      <c r="N23" s="59">
        <v>20.46</v>
      </c>
      <c r="O23" s="60">
        <v>467</v>
      </c>
      <c r="P23" s="88">
        <f t="shared" si="5"/>
        <v>21</v>
      </c>
      <c r="Q23" s="59">
        <v>61.8</v>
      </c>
      <c r="R23" s="60">
        <v>1439</v>
      </c>
      <c r="S23" s="88">
        <f t="shared" si="6"/>
        <v>21</v>
      </c>
      <c r="T23" s="59">
        <v>17.7</v>
      </c>
      <c r="U23" s="60">
        <v>10</v>
      </c>
      <c r="V23" s="88">
        <f t="shared" si="7"/>
        <v>21</v>
      </c>
      <c r="W23" s="59">
        <v>30</v>
      </c>
      <c r="X23" s="60">
        <v>450</v>
      </c>
      <c r="Y23" s="88">
        <f t="shared" si="8"/>
        <v>21</v>
      </c>
      <c r="Z23" s="59">
        <v>32.94</v>
      </c>
      <c r="AA23" s="60">
        <v>130</v>
      </c>
      <c r="AB23" s="88">
        <f t="shared" si="9"/>
        <v>21</v>
      </c>
      <c r="AC23" s="59"/>
      <c r="AD23" s="60"/>
      <c r="AE23" s="88">
        <f t="shared" si="10"/>
        <v>21</v>
      </c>
      <c r="AF23" s="59">
        <v>11.04</v>
      </c>
      <c r="AG23" s="60">
        <v>5</v>
      </c>
      <c r="AH23" s="88">
        <f t="shared" si="11"/>
        <v>21</v>
      </c>
      <c r="AI23" s="59">
        <v>28.96</v>
      </c>
      <c r="AJ23" s="60">
        <v>439</v>
      </c>
      <c r="AK23" s="73"/>
    </row>
    <row r="24" spans="1:37" s="54" customFormat="1" ht="11.25" x14ac:dyDescent="0.2">
      <c r="A24" s="86">
        <f t="shared" si="0"/>
        <v>22</v>
      </c>
      <c r="B24" s="59"/>
      <c r="C24" s="60"/>
      <c r="D24" s="88">
        <f t="shared" si="1"/>
        <v>22</v>
      </c>
      <c r="E24" s="59"/>
      <c r="F24" s="60"/>
      <c r="G24" s="88">
        <f t="shared" si="2"/>
        <v>22</v>
      </c>
      <c r="H24" s="59">
        <v>6.33</v>
      </c>
      <c r="I24" s="60">
        <v>6</v>
      </c>
      <c r="J24" s="88">
        <f t="shared" si="3"/>
        <v>22</v>
      </c>
      <c r="K24" s="59">
        <v>11.16</v>
      </c>
      <c r="L24" s="60">
        <v>30</v>
      </c>
      <c r="M24" s="88">
        <f t="shared" si="4"/>
        <v>22</v>
      </c>
      <c r="N24" s="59">
        <v>40.46</v>
      </c>
      <c r="O24" s="60">
        <v>734</v>
      </c>
      <c r="P24" s="88">
        <f t="shared" si="5"/>
        <v>22</v>
      </c>
      <c r="Q24" s="59">
        <v>10.58</v>
      </c>
      <c r="R24" s="60">
        <v>5</v>
      </c>
      <c r="S24" s="88">
        <f t="shared" si="6"/>
        <v>22</v>
      </c>
      <c r="T24" s="59"/>
      <c r="U24" s="60"/>
      <c r="V24" s="88">
        <f t="shared" si="7"/>
        <v>22</v>
      </c>
      <c r="W24" s="59">
        <v>24.67</v>
      </c>
      <c r="X24" s="60">
        <v>535</v>
      </c>
      <c r="Y24" s="88">
        <f t="shared" si="8"/>
        <v>22</v>
      </c>
      <c r="Z24" s="59">
        <v>19.940000000000001</v>
      </c>
      <c r="AA24" s="60">
        <v>50</v>
      </c>
      <c r="AB24" s="88">
        <f t="shared" si="9"/>
        <v>22</v>
      </c>
      <c r="AC24" s="59"/>
      <c r="AD24" s="60"/>
      <c r="AE24" s="88">
        <f t="shared" si="10"/>
        <v>22</v>
      </c>
      <c r="AF24" s="59">
        <v>54.73</v>
      </c>
      <c r="AG24" s="60">
        <v>359</v>
      </c>
      <c r="AH24" s="88">
        <f t="shared" si="11"/>
        <v>22</v>
      </c>
      <c r="AI24" s="59"/>
      <c r="AJ24" s="60"/>
      <c r="AK24" s="73"/>
    </row>
    <row r="25" spans="1:37" s="54" customFormat="1" ht="11.25" x14ac:dyDescent="0.2">
      <c r="A25" s="86">
        <f t="shared" si="0"/>
        <v>23</v>
      </c>
      <c r="B25" s="59">
        <v>5.2</v>
      </c>
      <c r="C25" s="60">
        <v>0</v>
      </c>
      <c r="D25" s="88">
        <f t="shared" si="1"/>
        <v>23</v>
      </c>
      <c r="E25" s="59"/>
      <c r="F25" s="60"/>
      <c r="G25" s="88">
        <f t="shared" si="2"/>
        <v>23</v>
      </c>
      <c r="H25" s="59"/>
      <c r="I25" s="60"/>
      <c r="J25" s="88">
        <f t="shared" si="3"/>
        <v>23</v>
      </c>
      <c r="K25" s="59">
        <v>32.35</v>
      </c>
      <c r="L25" s="60">
        <v>350</v>
      </c>
      <c r="M25" s="88">
        <f t="shared" si="4"/>
        <v>23</v>
      </c>
      <c r="N25" s="59">
        <v>48.99</v>
      </c>
      <c r="O25" s="60">
        <v>746</v>
      </c>
      <c r="P25" s="88">
        <f t="shared" si="5"/>
        <v>23</v>
      </c>
      <c r="Q25" s="59">
        <v>43.19</v>
      </c>
      <c r="R25" s="60">
        <v>20</v>
      </c>
      <c r="S25" s="88">
        <f t="shared" si="6"/>
        <v>23</v>
      </c>
      <c r="T25" s="59">
        <v>26.2</v>
      </c>
      <c r="U25" s="60">
        <v>383</v>
      </c>
      <c r="V25" s="88">
        <f t="shared" si="7"/>
        <v>23</v>
      </c>
      <c r="W25" s="59">
        <v>28.78</v>
      </c>
      <c r="X25" s="60">
        <v>390</v>
      </c>
      <c r="Y25" s="88">
        <f t="shared" si="8"/>
        <v>23</v>
      </c>
      <c r="Z25" s="59">
        <v>17.61</v>
      </c>
      <c r="AA25" s="60">
        <v>80</v>
      </c>
      <c r="AB25" s="88">
        <f t="shared" si="9"/>
        <v>23</v>
      </c>
      <c r="AC25" s="59">
        <v>13.88</v>
      </c>
      <c r="AD25" s="60">
        <v>110</v>
      </c>
      <c r="AE25" s="88">
        <f t="shared" si="10"/>
        <v>23</v>
      </c>
      <c r="AF25" s="59">
        <v>32.53</v>
      </c>
      <c r="AG25" s="60">
        <v>20</v>
      </c>
      <c r="AH25" s="88">
        <f t="shared" si="11"/>
        <v>23</v>
      </c>
      <c r="AI25" s="59"/>
      <c r="AJ25" s="60"/>
      <c r="AK25" s="73"/>
    </row>
    <row r="26" spans="1:37" s="54" customFormat="1" ht="11.25" x14ac:dyDescent="0.2">
      <c r="A26" s="86">
        <f t="shared" si="0"/>
        <v>24</v>
      </c>
      <c r="B26" s="59">
        <v>11.89</v>
      </c>
      <c r="C26" s="60">
        <v>25</v>
      </c>
      <c r="D26" s="88">
        <f t="shared" si="1"/>
        <v>24</v>
      </c>
      <c r="E26" s="59">
        <v>21</v>
      </c>
      <c r="F26" s="60">
        <v>51</v>
      </c>
      <c r="G26" s="88">
        <f t="shared" si="2"/>
        <v>24</v>
      </c>
      <c r="H26" s="59"/>
      <c r="I26" s="60"/>
      <c r="J26" s="88">
        <f t="shared" si="3"/>
        <v>24</v>
      </c>
      <c r="K26" s="59">
        <v>11.58</v>
      </c>
      <c r="L26" s="60">
        <v>31</v>
      </c>
      <c r="M26" s="88">
        <f t="shared" si="4"/>
        <v>24</v>
      </c>
      <c r="N26" s="59">
        <v>31.16</v>
      </c>
      <c r="O26" s="60">
        <v>439</v>
      </c>
      <c r="P26" s="88">
        <f t="shared" si="5"/>
        <v>24</v>
      </c>
      <c r="Q26" s="59">
        <v>47.61</v>
      </c>
      <c r="R26" s="60">
        <v>395</v>
      </c>
      <c r="S26" s="88">
        <f t="shared" si="6"/>
        <v>24</v>
      </c>
      <c r="T26" s="59">
        <v>27.96</v>
      </c>
      <c r="U26" s="60">
        <v>439</v>
      </c>
      <c r="V26" s="88">
        <f t="shared" si="7"/>
        <v>24</v>
      </c>
      <c r="W26" s="59">
        <v>28.94</v>
      </c>
      <c r="X26" s="60">
        <v>567</v>
      </c>
      <c r="Y26" s="88">
        <f t="shared" si="8"/>
        <v>24</v>
      </c>
      <c r="Z26" s="59">
        <v>18.3</v>
      </c>
      <c r="AA26" s="60">
        <v>360</v>
      </c>
      <c r="AB26" s="88">
        <f t="shared" si="9"/>
        <v>24</v>
      </c>
      <c r="AC26" s="59">
        <v>14.09</v>
      </c>
      <c r="AD26" s="60">
        <v>80</v>
      </c>
      <c r="AE26" s="88">
        <f t="shared" si="10"/>
        <v>24</v>
      </c>
      <c r="AF26" s="59">
        <v>11.89</v>
      </c>
      <c r="AG26" s="60">
        <v>6</v>
      </c>
      <c r="AH26" s="88">
        <f t="shared" si="11"/>
        <v>24</v>
      </c>
      <c r="AI26" s="59">
        <v>21.45</v>
      </c>
      <c r="AJ26" s="60">
        <v>63</v>
      </c>
      <c r="AK26" s="73"/>
    </row>
    <row r="27" spans="1:37" s="54" customFormat="1" ht="11.25" x14ac:dyDescent="0.2">
      <c r="A27" s="86">
        <f t="shared" si="0"/>
        <v>25</v>
      </c>
      <c r="B27" s="59">
        <v>20.25</v>
      </c>
      <c r="C27" s="60">
        <v>10</v>
      </c>
      <c r="D27" s="88">
        <f t="shared" si="1"/>
        <v>25</v>
      </c>
      <c r="E27" s="59"/>
      <c r="F27" s="60"/>
      <c r="G27" s="88">
        <f t="shared" si="2"/>
        <v>25</v>
      </c>
      <c r="H27" s="59"/>
      <c r="I27" s="60"/>
      <c r="J27" s="88">
        <f t="shared" si="3"/>
        <v>25</v>
      </c>
      <c r="K27" s="59">
        <v>15.23</v>
      </c>
      <c r="L27" s="60">
        <v>27</v>
      </c>
      <c r="M27" s="88">
        <f t="shared" si="4"/>
        <v>25</v>
      </c>
      <c r="N27" s="59">
        <v>52.4</v>
      </c>
      <c r="O27" s="60">
        <v>557</v>
      </c>
      <c r="P27" s="88">
        <f t="shared" si="5"/>
        <v>25</v>
      </c>
      <c r="Q27" s="59">
        <v>22.24</v>
      </c>
      <c r="R27" s="60">
        <v>260</v>
      </c>
      <c r="S27" s="88">
        <f t="shared" si="6"/>
        <v>25</v>
      </c>
      <c r="T27" s="59">
        <v>24.99</v>
      </c>
      <c r="U27" s="60">
        <v>336</v>
      </c>
      <c r="V27" s="88">
        <f t="shared" si="7"/>
        <v>25</v>
      </c>
      <c r="W27" s="59">
        <v>12.96</v>
      </c>
      <c r="X27" s="60">
        <v>0</v>
      </c>
      <c r="Y27" s="88">
        <f t="shared" si="8"/>
        <v>25</v>
      </c>
      <c r="Z27" s="59">
        <v>11.01</v>
      </c>
      <c r="AA27" s="60">
        <v>30</v>
      </c>
      <c r="AB27" s="88">
        <f t="shared" si="9"/>
        <v>25</v>
      </c>
      <c r="AC27" s="59">
        <v>32.049999999999997</v>
      </c>
      <c r="AD27" s="60">
        <v>500</v>
      </c>
      <c r="AE27" s="88">
        <f t="shared" si="10"/>
        <v>25</v>
      </c>
      <c r="AF27" s="59">
        <v>16.850000000000001</v>
      </c>
      <c r="AG27" s="60">
        <v>5</v>
      </c>
      <c r="AH27" s="88">
        <f t="shared" si="11"/>
        <v>25</v>
      </c>
      <c r="AK27" s="73"/>
    </row>
    <row r="28" spans="1:37" s="54" customFormat="1" ht="11.25" x14ac:dyDescent="0.2">
      <c r="A28" s="86">
        <f t="shared" si="0"/>
        <v>26</v>
      </c>
      <c r="B28" s="59">
        <v>63.72</v>
      </c>
      <c r="C28" s="60">
        <v>45</v>
      </c>
      <c r="D28" s="88">
        <f t="shared" si="1"/>
        <v>26</v>
      </c>
      <c r="E28" s="59">
        <v>10.7</v>
      </c>
      <c r="F28" s="60">
        <v>30</v>
      </c>
      <c r="G28" s="88">
        <f t="shared" si="2"/>
        <v>26</v>
      </c>
      <c r="H28" s="59"/>
      <c r="I28" s="60"/>
      <c r="J28" s="88">
        <f t="shared" si="3"/>
        <v>26</v>
      </c>
      <c r="K28" s="59">
        <v>31.24</v>
      </c>
      <c r="L28" s="60">
        <v>201</v>
      </c>
      <c r="M28" s="88">
        <f t="shared" si="4"/>
        <v>26</v>
      </c>
      <c r="N28" s="59">
        <v>21.93</v>
      </c>
      <c r="O28" s="60">
        <v>16</v>
      </c>
      <c r="P28" s="88">
        <f t="shared" si="5"/>
        <v>26</v>
      </c>
      <c r="Q28" s="59">
        <v>41.75</v>
      </c>
      <c r="R28" s="60">
        <v>490</v>
      </c>
      <c r="S28" s="88">
        <f t="shared" si="6"/>
        <v>26</v>
      </c>
      <c r="T28" s="59">
        <v>59.32</v>
      </c>
      <c r="U28" s="60">
        <v>570</v>
      </c>
      <c r="V28" s="88">
        <f t="shared" si="7"/>
        <v>26</v>
      </c>
      <c r="W28" s="59"/>
      <c r="X28" s="60"/>
      <c r="Y28" s="88">
        <f t="shared" si="8"/>
        <v>26</v>
      </c>
      <c r="Z28" s="59">
        <v>23.97</v>
      </c>
      <c r="AA28" s="60">
        <v>20</v>
      </c>
      <c r="AB28" s="88">
        <f t="shared" si="9"/>
        <v>26</v>
      </c>
      <c r="AC28" s="59">
        <v>38.33</v>
      </c>
      <c r="AD28" s="60">
        <v>452</v>
      </c>
      <c r="AE28" s="88">
        <f t="shared" si="10"/>
        <v>26</v>
      </c>
      <c r="AF28" s="59">
        <v>15.85</v>
      </c>
      <c r="AG28" s="60">
        <v>30</v>
      </c>
      <c r="AH28" s="88">
        <f t="shared" si="11"/>
        <v>26</v>
      </c>
      <c r="AI28" s="59">
        <v>13.62</v>
      </c>
      <c r="AJ28" s="60">
        <v>13</v>
      </c>
      <c r="AK28" s="73"/>
    </row>
    <row r="29" spans="1:37" s="54" customFormat="1" ht="11.25" x14ac:dyDescent="0.2">
      <c r="A29" s="86">
        <f t="shared" si="0"/>
        <v>27</v>
      </c>
      <c r="B29" s="59">
        <v>37.44</v>
      </c>
      <c r="C29" s="60">
        <v>25</v>
      </c>
      <c r="D29" s="88">
        <f t="shared" si="1"/>
        <v>27</v>
      </c>
      <c r="E29" s="59"/>
      <c r="F29" s="60"/>
      <c r="G29" s="88">
        <f t="shared" si="2"/>
        <v>27</v>
      </c>
      <c r="H29" s="59"/>
      <c r="I29" s="60"/>
      <c r="J29" s="88">
        <f t="shared" si="3"/>
        <v>27</v>
      </c>
      <c r="K29" s="59">
        <v>207</v>
      </c>
      <c r="L29" s="60">
        <v>220</v>
      </c>
      <c r="M29" s="88">
        <f t="shared" si="4"/>
        <v>27</v>
      </c>
      <c r="N29" s="59">
        <v>21.9</v>
      </c>
      <c r="O29" s="60">
        <v>5</v>
      </c>
      <c r="P29" s="88">
        <f t="shared" si="5"/>
        <v>27</v>
      </c>
      <c r="Q29" s="59">
        <v>26.98</v>
      </c>
      <c r="R29" s="60">
        <v>404</v>
      </c>
      <c r="S29" s="88">
        <f t="shared" si="6"/>
        <v>27</v>
      </c>
      <c r="T29" s="59">
        <v>32.299999999999997</v>
      </c>
      <c r="U29" s="60">
        <v>380</v>
      </c>
      <c r="V29" s="88">
        <f t="shared" si="7"/>
        <v>27</v>
      </c>
      <c r="W29" s="59">
        <v>37.53</v>
      </c>
      <c r="X29" s="60">
        <v>25</v>
      </c>
      <c r="Y29" s="88">
        <f t="shared" si="8"/>
        <v>27</v>
      </c>
      <c r="Z29" s="59">
        <v>59.59</v>
      </c>
      <c r="AA29" s="60">
        <v>818</v>
      </c>
      <c r="AB29" s="88">
        <f t="shared" si="9"/>
        <v>27</v>
      </c>
      <c r="AC29" s="59"/>
      <c r="AD29" s="60"/>
      <c r="AE29" s="88">
        <f t="shared" si="10"/>
        <v>27</v>
      </c>
      <c r="AF29" s="59"/>
      <c r="AG29" s="60"/>
      <c r="AH29" s="88">
        <f t="shared" si="11"/>
        <v>27</v>
      </c>
      <c r="AI29" s="59">
        <v>10.55</v>
      </c>
      <c r="AJ29" s="60">
        <v>0</v>
      </c>
      <c r="AK29" s="73"/>
    </row>
    <row r="30" spans="1:37" s="54" customFormat="1" ht="11.25" x14ac:dyDescent="0.2">
      <c r="A30" s="86">
        <f t="shared" si="0"/>
        <v>28</v>
      </c>
      <c r="B30" s="59"/>
      <c r="C30" s="60"/>
      <c r="D30" s="88">
        <f t="shared" si="1"/>
        <v>28</v>
      </c>
      <c r="E30" s="59"/>
      <c r="F30" s="60"/>
      <c r="G30" s="88">
        <f t="shared" si="2"/>
        <v>28</v>
      </c>
      <c r="H30" s="59">
        <v>21.78</v>
      </c>
      <c r="I30" s="60">
        <v>179</v>
      </c>
      <c r="J30" s="88">
        <f t="shared" si="3"/>
        <v>28</v>
      </c>
      <c r="K30" s="59"/>
      <c r="L30" s="60"/>
      <c r="M30" s="88">
        <f t="shared" si="4"/>
        <v>28</v>
      </c>
      <c r="N30" s="59">
        <v>40.61</v>
      </c>
      <c r="O30" s="60">
        <v>20</v>
      </c>
      <c r="P30" s="88">
        <f t="shared" si="5"/>
        <v>28</v>
      </c>
      <c r="Q30" s="59">
        <v>53.2</v>
      </c>
      <c r="R30" s="60">
        <v>755</v>
      </c>
      <c r="S30" s="88">
        <f t="shared" si="6"/>
        <v>28</v>
      </c>
      <c r="T30" s="59">
        <v>76.33</v>
      </c>
      <c r="U30" s="60">
        <v>1018</v>
      </c>
      <c r="V30" s="88">
        <f t="shared" si="7"/>
        <v>28</v>
      </c>
      <c r="W30" s="59">
        <v>11.36</v>
      </c>
      <c r="X30" s="60">
        <v>45</v>
      </c>
      <c r="Y30" s="88">
        <f t="shared" si="8"/>
        <v>28</v>
      </c>
      <c r="Z30" s="59">
        <v>42.88</v>
      </c>
      <c r="AA30" s="60">
        <v>598</v>
      </c>
      <c r="AB30" s="88">
        <f t="shared" si="9"/>
        <v>28</v>
      </c>
      <c r="AC30" s="59">
        <v>15.86</v>
      </c>
      <c r="AD30" s="60">
        <v>30</v>
      </c>
      <c r="AE30" s="88">
        <f t="shared" si="10"/>
        <v>28</v>
      </c>
      <c r="AF30" s="59">
        <v>14.84</v>
      </c>
      <c r="AG30" s="60">
        <v>310</v>
      </c>
      <c r="AH30" s="88">
        <f t="shared" si="11"/>
        <v>28</v>
      </c>
      <c r="AI30" s="59">
        <v>37.159999999999997</v>
      </c>
      <c r="AJ30" s="60">
        <v>461</v>
      </c>
      <c r="AK30" s="73"/>
    </row>
    <row r="31" spans="1:37" s="54" customFormat="1" ht="11.25" x14ac:dyDescent="0.2">
      <c r="A31" s="86">
        <f t="shared" si="0"/>
        <v>29</v>
      </c>
      <c r="B31" s="59"/>
      <c r="C31" s="60"/>
      <c r="D31" s="88">
        <f t="shared" si="1"/>
        <v>29</v>
      </c>
      <c r="E31" s="59"/>
      <c r="F31" s="60"/>
      <c r="G31" s="88">
        <f t="shared" si="2"/>
        <v>29</v>
      </c>
      <c r="H31" s="59">
        <v>45.7</v>
      </c>
      <c r="I31" s="60">
        <v>507</v>
      </c>
      <c r="J31" s="88">
        <f t="shared" si="3"/>
        <v>29</v>
      </c>
      <c r="K31" s="59">
        <v>21.82</v>
      </c>
      <c r="L31" s="60">
        <v>10</v>
      </c>
      <c r="M31" s="88">
        <f t="shared" si="4"/>
        <v>29</v>
      </c>
      <c r="N31" s="59">
        <v>21.91</v>
      </c>
      <c r="O31" s="60">
        <v>15</v>
      </c>
      <c r="P31" s="88">
        <f t="shared" si="5"/>
        <v>29</v>
      </c>
      <c r="Q31" s="59">
        <v>23.13</v>
      </c>
      <c r="R31" s="60">
        <v>60</v>
      </c>
      <c r="S31" s="88">
        <f t="shared" si="6"/>
        <v>29</v>
      </c>
      <c r="T31" s="59">
        <v>35.74</v>
      </c>
      <c r="U31" s="60">
        <v>900</v>
      </c>
      <c r="V31" s="88">
        <f t="shared" si="7"/>
        <v>29</v>
      </c>
      <c r="W31" s="59">
        <v>11.71</v>
      </c>
      <c r="X31" s="60">
        <v>20</v>
      </c>
      <c r="Y31" s="88">
        <f t="shared" si="8"/>
        <v>29</v>
      </c>
      <c r="Z31" s="59">
        <v>10.53</v>
      </c>
      <c r="AA31" s="60">
        <v>30</v>
      </c>
      <c r="AB31" s="88">
        <f t="shared" si="9"/>
        <v>29</v>
      </c>
      <c r="AC31" s="59"/>
      <c r="AD31" s="60"/>
      <c r="AE31" s="88">
        <f t="shared" si="10"/>
        <v>29</v>
      </c>
      <c r="AF31" s="59">
        <v>33.75</v>
      </c>
      <c r="AG31" s="60">
        <v>75</v>
      </c>
      <c r="AH31" s="88">
        <f t="shared" si="11"/>
        <v>29</v>
      </c>
      <c r="AI31" s="59">
        <v>15.39</v>
      </c>
      <c r="AJ31" s="60">
        <v>30</v>
      </c>
      <c r="AK31" s="73"/>
    </row>
    <row r="32" spans="1:37" s="54" customFormat="1" ht="11.25" x14ac:dyDescent="0.2">
      <c r="A32" s="86">
        <f t="shared" si="0"/>
        <v>30</v>
      </c>
      <c r="B32" s="59">
        <v>20.25</v>
      </c>
      <c r="C32" s="60">
        <v>10</v>
      </c>
      <c r="D32" s="88"/>
      <c r="E32" s="59"/>
      <c r="F32" s="60"/>
      <c r="G32" s="88">
        <f t="shared" si="2"/>
        <v>30</v>
      </c>
      <c r="H32" s="59">
        <v>79.290000000000006</v>
      </c>
      <c r="I32" s="60">
        <v>590</v>
      </c>
      <c r="J32" s="88">
        <f t="shared" si="3"/>
        <v>30</v>
      </c>
      <c r="K32" s="59">
        <v>5.42</v>
      </c>
      <c r="L32" s="60">
        <v>0</v>
      </c>
      <c r="M32" s="88">
        <f t="shared" si="4"/>
        <v>30</v>
      </c>
      <c r="N32" s="59">
        <v>27.28</v>
      </c>
      <c r="O32" s="60">
        <v>333</v>
      </c>
      <c r="P32" s="88">
        <f t="shared" si="5"/>
        <v>30</v>
      </c>
      <c r="Q32" s="59">
        <v>31.47</v>
      </c>
      <c r="R32" s="60">
        <v>175</v>
      </c>
      <c r="S32" s="88">
        <f t="shared" si="6"/>
        <v>30</v>
      </c>
      <c r="T32" s="59">
        <v>20.96</v>
      </c>
      <c r="U32" s="60">
        <v>30</v>
      </c>
      <c r="V32" s="88">
        <f t="shared" si="7"/>
        <v>30</v>
      </c>
      <c r="W32" s="59">
        <v>52.49</v>
      </c>
      <c r="X32" s="60">
        <v>850</v>
      </c>
      <c r="Y32" s="88">
        <f t="shared" si="8"/>
        <v>30</v>
      </c>
      <c r="Z32" s="59">
        <v>20.149999999999999</v>
      </c>
      <c r="AA32" s="60">
        <v>50</v>
      </c>
      <c r="AB32" s="88">
        <f t="shared" si="9"/>
        <v>30</v>
      </c>
      <c r="AC32" s="59"/>
      <c r="AD32" s="60"/>
      <c r="AE32" s="88">
        <f t="shared" si="10"/>
        <v>30</v>
      </c>
      <c r="AF32" s="59">
        <v>17.690000000000001</v>
      </c>
      <c r="AG32" s="60">
        <v>546</v>
      </c>
      <c r="AH32" s="88">
        <f t="shared" si="11"/>
        <v>30</v>
      </c>
      <c r="AI32" s="59">
        <v>16.73</v>
      </c>
      <c r="AJ32" s="60">
        <v>29</v>
      </c>
      <c r="AK32" s="73"/>
    </row>
    <row r="33" spans="1:37" s="54" customFormat="1" ht="11.25" x14ac:dyDescent="0.2">
      <c r="A33" s="87">
        <f t="shared" si="0"/>
        <v>31</v>
      </c>
      <c r="B33" s="68">
        <v>10.71</v>
      </c>
      <c r="C33" s="69">
        <v>85</v>
      </c>
      <c r="D33" s="89"/>
      <c r="E33" s="68"/>
      <c r="F33" s="69"/>
      <c r="G33" s="89">
        <f t="shared" si="2"/>
        <v>31</v>
      </c>
      <c r="H33" s="68">
        <v>21.86</v>
      </c>
      <c r="I33" s="69">
        <v>5</v>
      </c>
      <c r="J33" s="89"/>
      <c r="K33" s="68"/>
      <c r="L33" s="69"/>
      <c r="M33" s="89">
        <f t="shared" si="4"/>
        <v>31</v>
      </c>
      <c r="N33" s="68">
        <v>34.94</v>
      </c>
      <c r="O33" s="69">
        <v>402</v>
      </c>
      <c r="P33" s="89"/>
      <c r="Q33" s="68"/>
      <c r="R33" s="69"/>
      <c r="S33" s="89">
        <f t="shared" si="6"/>
        <v>31</v>
      </c>
      <c r="T33" s="68">
        <v>92.24</v>
      </c>
      <c r="U33" s="69">
        <v>602</v>
      </c>
      <c r="V33" s="89">
        <f t="shared" si="7"/>
        <v>31</v>
      </c>
      <c r="W33" s="68"/>
      <c r="X33" s="69"/>
      <c r="Y33" s="89"/>
      <c r="Z33" s="68"/>
      <c r="AA33" s="69"/>
      <c r="AB33" s="89">
        <f t="shared" si="9"/>
        <v>31</v>
      </c>
      <c r="AC33" s="68">
        <v>27.72</v>
      </c>
      <c r="AD33" s="69">
        <v>60</v>
      </c>
      <c r="AE33" s="89"/>
      <c r="AF33" s="68"/>
      <c r="AG33" s="69"/>
      <c r="AH33" s="89">
        <f t="shared" si="11"/>
        <v>31</v>
      </c>
      <c r="AI33" s="68">
        <v>10.44</v>
      </c>
      <c r="AJ33" s="69">
        <v>13</v>
      </c>
      <c r="AK33" s="73"/>
    </row>
    <row r="34" spans="1:37" s="54" customFormat="1" ht="11.25" x14ac:dyDescent="0.2">
      <c r="A34" s="50" t="s">
        <v>95</v>
      </c>
      <c r="B34" s="52">
        <f>SUM(B3:B33)</f>
        <v>454.17999999999995</v>
      </c>
      <c r="C34" s="53">
        <f>SUM(C3:C33)</f>
        <v>5341</v>
      </c>
      <c r="D34" s="71"/>
      <c r="E34" s="52">
        <f>SUM(E3:E33)</f>
        <v>425.59</v>
      </c>
      <c r="F34" s="53">
        <f>SUM(F3:F33)</f>
        <v>717</v>
      </c>
      <c r="G34" s="71"/>
      <c r="H34" s="52">
        <f>SUM(H3:H33)</f>
        <v>319.42</v>
      </c>
      <c r="I34" s="53">
        <f>SUM(I3:I33)</f>
        <v>2037</v>
      </c>
      <c r="J34" s="90"/>
      <c r="K34" s="52">
        <f>SUM(K3:K33)</f>
        <v>745.56999999999994</v>
      </c>
      <c r="L34" s="53">
        <f>SUM(L3:L33)</f>
        <v>3363</v>
      </c>
      <c r="M34" s="71"/>
      <c r="N34" s="52">
        <f>SUM(N3:N33)</f>
        <v>848.03</v>
      </c>
      <c r="O34" s="53">
        <f>SUM(O3:O33)</f>
        <v>10231</v>
      </c>
      <c r="P34" s="71"/>
      <c r="Q34" s="52">
        <f>SUM(Q3:Q33)</f>
        <v>1014.3200000000002</v>
      </c>
      <c r="R34" s="53">
        <f>SUM(R3:R33)</f>
        <v>11209</v>
      </c>
      <c r="S34" s="71"/>
      <c r="T34" s="52">
        <f>SUM(T3:T33)</f>
        <v>817.33000000000015</v>
      </c>
      <c r="U34" s="53">
        <f>SUM(U3:U33)</f>
        <v>9536</v>
      </c>
      <c r="V34" s="71"/>
      <c r="W34" s="52">
        <f>SUM(W3:W33)</f>
        <v>678.3900000000001</v>
      </c>
      <c r="X34" s="53">
        <f>SUM(X3:X33)</f>
        <v>7494</v>
      </c>
      <c r="Y34" s="71"/>
      <c r="Z34" s="52">
        <f>SUM(Z3:Z33)</f>
        <v>661.35</v>
      </c>
      <c r="AA34" s="53">
        <f>SUM(AA3:AA33)</f>
        <v>7099</v>
      </c>
      <c r="AB34" s="71"/>
      <c r="AC34" s="52">
        <f>SUM(AC3:AC33)</f>
        <v>606.47</v>
      </c>
      <c r="AD34" s="53">
        <f>SUM(AD3:AD33)</f>
        <v>5704</v>
      </c>
      <c r="AE34" s="71"/>
      <c r="AF34" s="52">
        <f>SUM(AF3:AF33)</f>
        <v>597.97000000000014</v>
      </c>
      <c r="AG34" s="53">
        <f>SUM(AG3:AG33)</f>
        <v>3608</v>
      </c>
      <c r="AH34" s="71"/>
      <c r="AI34" s="52">
        <f>SUM(AI3:AI33)</f>
        <v>339.71999999999997</v>
      </c>
      <c r="AJ34" s="53">
        <f>SUM(AJ3:AJ33)</f>
        <v>3961</v>
      </c>
      <c r="AK34" s="73"/>
    </row>
    <row r="35" spans="1:37" s="57" customFormat="1" ht="11.25" x14ac:dyDescent="0.2">
      <c r="A35" s="51" t="s">
        <v>96</v>
      </c>
      <c r="B35" s="55">
        <f>B34</f>
        <v>454.17999999999995</v>
      </c>
      <c r="C35" s="56">
        <f>C34</f>
        <v>5341</v>
      </c>
      <c r="D35" s="72"/>
      <c r="E35" s="55">
        <f>E34+B35</f>
        <v>879.77</v>
      </c>
      <c r="F35" s="56">
        <f>F34+C35</f>
        <v>6058</v>
      </c>
      <c r="G35" s="72"/>
      <c r="H35" s="55">
        <f>H34+E35</f>
        <v>1199.19</v>
      </c>
      <c r="I35" s="56">
        <f>I34+F35</f>
        <v>8095</v>
      </c>
      <c r="J35" s="72"/>
      <c r="K35" s="55">
        <f>K34+H35</f>
        <v>1944.76</v>
      </c>
      <c r="L35" s="56">
        <f>L34+I35</f>
        <v>11458</v>
      </c>
      <c r="M35" s="72"/>
      <c r="N35" s="55">
        <f>N34+K35</f>
        <v>2792.79</v>
      </c>
      <c r="O35" s="56">
        <f>O34+L35</f>
        <v>21689</v>
      </c>
      <c r="P35" s="72"/>
      <c r="Q35" s="55">
        <f>Q34+N35</f>
        <v>3807.11</v>
      </c>
      <c r="R35" s="56">
        <f>R34+O35</f>
        <v>32898</v>
      </c>
      <c r="S35" s="72"/>
      <c r="T35" s="55">
        <f>T34+Q35</f>
        <v>4624.4400000000005</v>
      </c>
      <c r="U35" s="56">
        <f>U34+R35</f>
        <v>42434</v>
      </c>
      <c r="V35" s="72"/>
      <c r="W35" s="55">
        <f>W34+T35</f>
        <v>5302.8300000000008</v>
      </c>
      <c r="X35" s="56">
        <f>X34+U35</f>
        <v>49928</v>
      </c>
      <c r="Y35" s="72"/>
      <c r="Z35" s="55">
        <f>Z34+W35</f>
        <v>5964.1800000000012</v>
      </c>
      <c r="AA35" s="56">
        <f>AA34+X35</f>
        <v>57027</v>
      </c>
      <c r="AB35" s="72"/>
      <c r="AC35" s="55">
        <f>AC34+Z35</f>
        <v>6570.6500000000015</v>
      </c>
      <c r="AD35" s="56">
        <f>AD34+AA35</f>
        <v>62731</v>
      </c>
      <c r="AE35" s="72"/>
      <c r="AF35" s="55">
        <f>AF34+AC35</f>
        <v>7168.6200000000017</v>
      </c>
      <c r="AG35" s="56">
        <f>AG34+AD35</f>
        <v>66339</v>
      </c>
      <c r="AH35" s="72"/>
      <c r="AI35" s="55">
        <f>AI34+AF35</f>
        <v>7508.340000000002</v>
      </c>
      <c r="AJ35" s="56">
        <f>AJ34+AG35</f>
        <v>70300</v>
      </c>
      <c r="AK35" s="106"/>
    </row>
    <row r="36" spans="1:37" s="198" customFormat="1" x14ac:dyDescent="0.2">
      <c r="A36" s="50" t="s">
        <v>158</v>
      </c>
      <c r="D36" s="199"/>
      <c r="G36" s="199"/>
      <c r="H36" s="52">
        <f>SUM(B34,E34,H34)</f>
        <v>1199.19</v>
      </c>
      <c r="I36" s="53">
        <f>SUM(C34,F34,I34)</f>
        <v>8095</v>
      </c>
      <c r="J36" s="199"/>
      <c r="M36" s="199"/>
      <c r="P36" s="199"/>
      <c r="Q36" s="52">
        <f>SUM(K34,N34,Q34)</f>
        <v>2607.92</v>
      </c>
      <c r="R36" s="53">
        <f>SUM(L34,O34,R34)</f>
        <v>24803</v>
      </c>
      <c r="S36" s="199"/>
      <c r="V36" s="199"/>
      <c r="Y36" s="199"/>
      <c r="Z36" s="52">
        <f>SUM(T34,W34,Z34)</f>
        <v>2157.0700000000002</v>
      </c>
      <c r="AA36" s="53">
        <f>SUM(U34,X34,AA34)</f>
        <v>24129</v>
      </c>
      <c r="AB36" s="199"/>
      <c r="AE36" s="199"/>
      <c r="AH36" s="199"/>
      <c r="AI36" s="52">
        <f>SUM(AC34,AF34,AI34)</f>
        <v>1544.16</v>
      </c>
      <c r="AJ36" s="53">
        <f>SUM(AD34,AG34,AJ34)</f>
        <v>13273</v>
      </c>
      <c r="AK36" s="199"/>
    </row>
    <row r="37" spans="1:37" s="54" customFormat="1" ht="11.25" x14ac:dyDescent="0.2">
      <c r="A37" s="54" t="s">
        <v>152</v>
      </c>
      <c r="B37" s="59">
        <f>MAX(B3:B33)</f>
        <v>63.72</v>
      </c>
      <c r="C37" s="377">
        <f>MAX(C3:C33)</f>
        <v>1750</v>
      </c>
      <c r="D37" s="73"/>
      <c r="E37" s="59">
        <f>MAX(E3:E33)</f>
        <v>78.14</v>
      </c>
      <c r="F37" s="60">
        <f>MAX(F3:F33)</f>
        <v>156</v>
      </c>
      <c r="G37" s="73"/>
      <c r="H37" s="59">
        <f>MAX(H3:H33)</f>
        <v>79.290000000000006</v>
      </c>
      <c r="I37" s="60">
        <f>MAX(I3:I33)</f>
        <v>590</v>
      </c>
      <c r="J37" s="73"/>
      <c r="K37" s="378">
        <f>MAX(K3:K33)</f>
        <v>207</v>
      </c>
      <c r="L37" s="60">
        <f>MAX(L3:L33)</f>
        <v>940</v>
      </c>
      <c r="M37" s="73"/>
      <c r="N37" s="59">
        <f>MAX(N3:N33)</f>
        <v>115</v>
      </c>
      <c r="O37" s="60">
        <f>MAX(O3:O33)</f>
        <v>1335</v>
      </c>
      <c r="P37" s="73"/>
      <c r="Q37" s="59">
        <f>MAX(Q3:Q33)</f>
        <v>115</v>
      </c>
      <c r="R37" s="60">
        <f>MAX(R3:R33)</f>
        <v>1485</v>
      </c>
      <c r="S37" s="73"/>
      <c r="T37" s="59">
        <f>MAX(T3:T33)</f>
        <v>92.24</v>
      </c>
      <c r="U37" s="60">
        <f>MAX(U3:U33)</f>
        <v>1018</v>
      </c>
      <c r="V37" s="73"/>
      <c r="W37" s="59">
        <f>MAX(W3:W33)</f>
        <v>89.5</v>
      </c>
      <c r="X37" s="60">
        <f>MAX(X3:X33)</f>
        <v>1140</v>
      </c>
      <c r="Y37" s="73"/>
      <c r="Z37" s="59">
        <f>MAX(Z3:Z33)</f>
        <v>59.73</v>
      </c>
      <c r="AA37" s="60">
        <f>MAX(AA3:AA33)</f>
        <v>830</v>
      </c>
      <c r="AB37" s="73"/>
      <c r="AC37" s="59">
        <f>MAX(AC3:AC33)</f>
        <v>77.22</v>
      </c>
      <c r="AD37" s="60">
        <f>MAX(AD3:AD33)</f>
        <v>1005</v>
      </c>
      <c r="AE37" s="73"/>
      <c r="AF37" s="59">
        <f>MAX(AF3:AF33)</f>
        <v>82.72</v>
      </c>
      <c r="AG37" s="60">
        <f>MAX(AG3:AG33)</f>
        <v>585</v>
      </c>
      <c r="AH37" s="73"/>
      <c r="AI37" s="59">
        <f>MAX(AI3:AI33)</f>
        <v>37.159999999999997</v>
      </c>
      <c r="AJ37" s="377">
        <f>MAX(AJ3:AJ33)</f>
        <v>1260</v>
      </c>
      <c r="AK37" s="73"/>
    </row>
    <row r="38" spans="1:37" s="54" customFormat="1" ht="11.25" x14ac:dyDescent="0.2">
      <c r="A38" s="54" t="s">
        <v>348</v>
      </c>
      <c r="B38" s="59">
        <f>IFERROR(AVERAGE(B3:B33),0)</f>
        <v>22.708999999999996</v>
      </c>
      <c r="C38" s="60">
        <f>IFERROR(AVERAGE(C3:C33),0)</f>
        <v>267.05</v>
      </c>
      <c r="D38" s="73"/>
      <c r="E38" s="59">
        <f>IFERROR(AVERAGE(E3:E33),0)</f>
        <v>30.399285714285714</v>
      </c>
      <c r="F38" s="60">
        <f>IFERROR(AVERAGE(F3:F33),0)</f>
        <v>51.214285714285715</v>
      </c>
      <c r="G38" s="73"/>
      <c r="H38" s="59">
        <f>IFERROR(AVERAGE(H3:H33),0)</f>
        <v>24.570769230769233</v>
      </c>
      <c r="I38" s="60">
        <f>IFERROR(AVERAGE(I3:I33),0)</f>
        <v>156.69230769230768</v>
      </c>
      <c r="J38" s="73"/>
      <c r="K38" s="59">
        <f>IFERROR(AVERAGE(K3:K33),0)</f>
        <v>35.50333333333333</v>
      </c>
      <c r="L38" s="60">
        <f>IFERROR(AVERAGE(L3:L33),0)</f>
        <v>160.14285714285714</v>
      </c>
      <c r="M38" s="73"/>
      <c r="N38" s="59">
        <f>IFERROR(AVERAGE(N3:N33),0)</f>
        <v>29.242413793103449</v>
      </c>
      <c r="O38" s="60">
        <f>IFERROR(AVERAGE(O3:O33),0)</f>
        <v>352.79310344827587</v>
      </c>
      <c r="P38" s="73"/>
      <c r="Q38" s="59">
        <f>IFERROR(AVERAGE(Q3:Q33),0)</f>
        <v>34.976551724137934</v>
      </c>
      <c r="R38" s="60">
        <f>IFERROR(AVERAGE(R3:R33),0)</f>
        <v>386.51724137931035</v>
      </c>
      <c r="S38" s="73"/>
      <c r="T38" s="59">
        <f>IFERROR(AVERAGE(T3:T33),0)</f>
        <v>31.435769230769235</v>
      </c>
      <c r="U38" s="60">
        <f>IFERROR(AVERAGE(U3:U33),0)</f>
        <v>366.76923076923077</v>
      </c>
      <c r="V38" s="73"/>
      <c r="W38" s="59">
        <f>IFERROR(AVERAGE(W3:W33),0)</f>
        <v>29.495217391304351</v>
      </c>
      <c r="X38" s="60">
        <f>IFERROR(AVERAGE(X3:X33),0)</f>
        <v>325.82608695652175</v>
      </c>
      <c r="Y38" s="73"/>
      <c r="Z38" s="59">
        <f>IFERROR(AVERAGE(Z3:Z33),0)</f>
        <v>25.436538461538461</v>
      </c>
      <c r="AA38" s="60">
        <f>IFERROR(AVERAGE(AA3:AA33),0)</f>
        <v>273.03846153846155</v>
      </c>
      <c r="AB38" s="73"/>
      <c r="AC38" s="59">
        <f>IFERROR(AVERAGE(AC3:AC33),0)</f>
        <v>26.368260869565219</v>
      </c>
      <c r="AD38" s="60">
        <f>IFERROR(AVERAGE(AD3:AD33),0)</f>
        <v>248</v>
      </c>
      <c r="AE38" s="73"/>
      <c r="AF38" s="59">
        <f>IFERROR(AVERAGE(AF3:AF33),0)</f>
        <v>24.915416666666673</v>
      </c>
      <c r="AG38" s="60">
        <f>IFERROR(AVERAGE(AG3:AG33),0)</f>
        <v>150.33333333333334</v>
      </c>
      <c r="AH38" s="73"/>
      <c r="AI38" s="59">
        <f>IFERROR(AVERAGE(AI3:AI33),0)</f>
        <v>16.985999999999997</v>
      </c>
      <c r="AJ38" s="60">
        <f>IFERROR(AVERAGE(AJ3:AJ33),0)</f>
        <v>198.05</v>
      </c>
      <c r="AK38" s="73"/>
    </row>
    <row r="39" spans="1:37" s="57" customFormat="1" ht="11.25" x14ac:dyDescent="0.2">
      <c r="A39" s="108" t="s">
        <v>225</v>
      </c>
      <c r="B39" s="109">
        <f>RANK(B34,(B34,E34,H34,K34,N34,Q34,T34,W34,Z34,AC34,AF34,AI34))</f>
        <v>9</v>
      </c>
      <c r="C39" s="110">
        <f>RANK(C34,(C34,F34,I34,L34,O34,R34,U34,X34,AA34,AD34,AG34,AJ34))</f>
        <v>7</v>
      </c>
      <c r="D39" s="111"/>
      <c r="E39" s="109">
        <f>RANK(E34,(B34,E34,H34,K34,N34,Q34,T34,W34,Z34,AC34,AF34,AI34))</f>
        <v>10</v>
      </c>
      <c r="F39" s="110">
        <f>RANK(F34,(C34,F34,I34,L34,O34,R34,U34,X34,AA34,AD34,AG34,AJ34))</f>
        <v>12</v>
      </c>
      <c r="G39" s="111"/>
      <c r="H39" s="109">
        <f>RANK(H34,(B34,E34,H34,K34,N34,Q34,T34,W34,Z34,AC34,AF34,AI34))</f>
        <v>12</v>
      </c>
      <c r="I39" s="110">
        <f>RANK(I34,(C34,F34,I34,L34,O34,R34,U34,X34,AA34,AD34,AG34,AJ34))</f>
        <v>11</v>
      </c>
      <c r="J39" s="111"/>
      <c r="K39" s="109">
        <f>RANK(K34,(B34,E34,H34,K34,N34,Q34,T34,W34,Z34,AC34,AF34,AI34))</f>
        <v>4</v>
      </c>
      <c r="L39" s="110">
        <f>RANK(L34,(C34,F34,I34,L34,O34,R34,U34,X34,AA34,AD34,AG34,AJ34))</f>
        <v>10</v>
      </c>
      <c r="M39" s="111"/>
      <c r="N39" s="109">
        <f>RANK(N34,(B34,E34,H34,K34,N34,Q34,T34,W34,Z34,AC34,AF34,AI34))</f>
        <v>2</v>
      </c>
      <c r="O39" s="110">
        <f>RANK(O34,(C34,F34,I34,L34,O34,R34,U34,X34,AA34,AD34,AG34,AJ34))</f>
        <v>2</v>
      </c>
      <c r="P39" s="111"/>
      <c r="Q39" s="109">
        <f>RANK(Q34,(B34,E34,H34,K34,N34,Q34,T34,W34,Z34,AC34,AF34,AI34))</f>
        <v>1</v>
      </c>
      <c r="R39" s="110">
        <f>RANK(R34,(C34,F34,I34,L34,O34,R34,U34,X34,AA34,AD34,AG34,AJ34))</f>
        <v>1</v>
      </c>
      <c r="S39" s="111"/>
      <c r="T39" s="109">
        <f>RANK(T34,(B34,E34,H34,K34,N34,Q34,T34,W34,Z34,AC34,AF34,AI34))</f>
        <v>3</v>
      </c>
      <c r="U39" s="110">
        <f>RANK(U34,(C34,F34,I34,L34,O34,R34,U34,X34,AA34,AD34,AG34,AJ34))</f>
        <v>3</v>
      </c>
      <c r="V39" s="111"/>
      <c r="W39" s="109">
        <f>RANK(W34,(B34,E34,H34,K34,N34,Q34,T34,W34,Z34,AC34,AF34,AI34))</f>
        <v>5</v>
      </c>
      <c r="X39" s="110">
        <f>RANK(X34,(C34,F34,I34,L34,O34,R34,U34,X34,AA34,AD34,AG34,AJ34))</f>
        <v>4</v>
      </c>
      <c r="Y39" s="111"/>
      <c r="Z39" s="109">
        <f>RANK(Z34,(B34,E34,H34,K34,N34,Q34,T34,W34,Z34,AC34,AF34,AI34))</f>
        <v>6</v>
      </c>
      <c r="AA39" s="110">
        <f>RANK(AA34,(C34,F34,I34,L34,O34,R34,U34,X34,AA34,AD34,AG34,AJ34))</f>
        <v>5</v>
      </c>
      <c r="AB39" s="111"/>
      <c r="AC39" s="109">
        <f>RANK(AC34,(B34,E34,H34,K34,N34,Q34,T34,W34,Z34,AC34,AF34,AI34))</f>
        <v>7</v>
      </c>
      <c r="AD39" s="110">
        <f>RANK(AD34,(C34,F34,I34,L34,O34,R34,U34,X34,AA34,AD34,AG34,AJ34))</f>
        <v>6</v>
      </c>
      <c r="AE39" s="111"/>
      <c r="AF39" s="109">
        <f>RANK(AF34,(B34,E34,H34,K34,N34,Q34,T34,W34,Z34,AC34,AF34,AI34))</f>
        <v>8</v>
      </c>
      <c r="AG39" s="110">
        <f>RANK(AG34,(C34,F34,I34,L34,O34,R34,U34,X34,AA34,AD34,AG34,AJ34))</f>
        <v>9</v>
      </c>
      <c r="AH39" s="111"/>
      <c r="AI39" s="109">
        <f>RANK(AI34,(B34,E34,H34,K34,N34,Q34,T34,W34,Z34,AC34,AF34,AI34))</f>
        <v>11</v>
      </c>
      <c r="AJ39" s="112">
        <f>RANK(AJ34,(C34,F34,I34,L34,O34,R34,U34,X34,AA34,AD34,AG34,AJ34))</f>
        <v>8</v>
      </c>
      <c r="AK39" s="106"/>
    </row>
    <row r="40" spans="1:37" x14ac:dyDescent="0.2">
      <c r="A40" s="57" t="s">
        <v>218</v>
      </c>
      <c r="B40" s="100">
        <f>IFERROR(AVERAGE(B38,E38,H38,K38,N38,Q38,T38,W38,Z38,AC38,AF38,AI38),0)</f>
        <v>27.669879701289464</v>
      </c>
      <c r="C40" s="101">
        <f>IFERROR(AVERAGE(C38,F38,I38,L38,O38,R38,U38,X38,AA38,AD38,AG38,AJ38),0)</f>
        <v>244.70224233121539</v>
      </c>
      <c r="D40" s="399" t="s">
        <v>237</v>
      </c>
      <c r="E40" s="400"/>
      <c r="F40" s="107">
        <f>AI1/(C1*10)</f>
        <v>0.93629217643313944</v>
      </c>
      <c r="G40" s="106"/>
      <c r="J40" s="73"/>
      <c r="K40" s="54"/>
      <c r="L40" s="54"/>
      <c r="M40" s="50" t="s">
        <v>604</v>
      </c>
      <c r="N40" s="307">
        <v>40</v>
      </c>
      <c r="O40" s="54"/>
      <c r="P40" s="54"/>
      <c r="Q40" s="54"/>
      <c r="R40" s="54"/>
      <c r="S40" s="73"/>
      <c r="AB40" s="73" t="s">
        <v>485</v>
      </c>
      <c r="AC40" s="52">
        <f>MAX(B34,E34,H34,K34,N34,Q34,T34,W34,Z34,AC34,AF34,AI34)</f>
        <v>1014.3200000000002</v>
      </c>
      <c r="AD40" s="256">
        <f>MAX(C34,F34,I34,L34,O34,R34,U34,X34,AA34,AD34,AG34,AJ34)</f>
        <v>11209</v>
      </c>
      <c r="AK40" s="73"/>
    </row>
    <row r="41" spans="1:37" x14ac:dyDescent="0.2">
      <c r="A41" s="57" t="s">
        <v>219</v>
      </c>
      <c r="B41" s="100">
        <f>AI35/366</f>
        <v>20.514590163934432</v>
      </c>
      <c r="C41" s="101">
        <f>AJ35/366</f>
        <v>192.07650273224044</v>
      </c>
      <c r="D41" s="73"/>
      <c r="J41" s="73"/>
      <c r="K41" s="54"/>
      <c r="L41" s="54"/>
      <c r="M41" s="50" t="s">
        <v>605</v>
      </c>
      <c r="N41" s="308">
        <v>8</v>
      </c>
      <c r="O41" s="54"/>
      <c r="P41" s="54"/>
      <c r="Q41" s="54"/>
      <c r="R41" s="54"/>
      <c r="S41" s="73"/>
      <c r="AB41" s="73"/>
      <c r="AK41" s="73"/>
    </row>
  </sheetData>
  <sheetProtection password="CC70" sheet="1" objects="1" scenarios="1"/>
  <mergeCells count="18">
    <mergeCell ref="D40:E40"/>
    <mergeCell ref="AI1:AJ1"/>
    <mergeCell ref="E1:F1"/>
    <mergeCell ref="G1:H1"/>
    <mergeCell ref="AC1:AD1"/>
    <mergeCell ref="AE1:AF1"/>
    <mergeCell ref="I1:J1"/>
    <mergeCell ref="K1:L1"/>
    <mergeCell ref="AA1:AB1"/>
    <mergeCell ref="Y1:Z1"/>
    <mergeCell ref="Q1:T1"/>
    <mergeCell ref="M1:N1"/>
    <mergeCell ref="O1:P1"/>
    <mergeCell ref="U1:V1"/>
    <mergeCell ref="W1:X1"/>
    <mergeCell ref="A1:B1"/>
    <mergeCell ref="C1:D1"/>
    <mergeCell ref="AG1:AH1"/>
  </mergeCells>
  <conditionalFormatting sqref="B34 E34 H34 K34 N34 Q34 T34 W34 Z34 AC34 AF34 AI34">
    <cfRule type="cellIs" dxfId="897" priority="81" operator="equal">
      <formula>$O$1</formula>
    </cfRule>
    <cfRule type="cellIs" dxfId="896" priority="105" operator="equal">
      <formula>$K$1</formula>
    </cfRule>
  </conditionalFormatting>
  <conditionalFormatting sqref="C34 F34 I34 L34 O34 R34 U34 X34 AA34 AD34 AG34 AJ34">
    <cfRule type="cellIs" dxfId="895" priority="57" operator="equal">
      <formula>$W$1</formula>
    </cfRule>
    <cfRule type="cellIs" dxfId="894" priority="58" operator="equal">
      <formula>$AA$1</formula>
    </cfRule>
  </conditionalFormatting>
  <conditionalFormatting sqref="B3:B33 E3:E33 H3:H33 K3:K33 N3:N33 Q3:Q33 T3:T33 W3:W33 Z3:Z33 AC3:AC33 AF3:AF33 AI3:AI33">
    <cfRule type="cellIs" dxfId="893" priority="232" stopIfTrue="1" operator="lessThan">
      <formula>50</formula>
    </cfRule>
    <cfRule type="cellIs" dxfId="892" priority="233" stopIfTrue="1" operator="greaterThanOrEqual">
      <formula>100</formula>
    </cfRule>
    <cfRule type="cellIs" dxfId="891" priority="234" operator="greaterThanOrEqual">
      <formula>50</formula>
    </cfRule>
  </conditionalFormatting>
  <conditionalFormatting sqref="C3:C33 F3:F33 I3:I33 L3:L33 O3:O33 R3:R33 U3:U33 X3:X33 AA3:AA33 AD3:AD33 AG3:AG33 AJ3:AJ33">
    <cfRule type="cellIs" dxfId="890" priority="190" stopIfTrue="1" operator="between">
      <formula>0</formula>
      <formula>749.99</formula>
    </cfRule>
    <cfRule type="cellIs" dxfId="889" priority="191" stopIfTrue="1" operator="greaterThanOrEqual">
      <formula>1500</formula>
    </cfRule>
    <cfRule type="cellIs" dxfId="888" priority="192" operator="greaterThanOrEqual">
      <formula>750</formula>
    </cfRule>
  </conditionalFormatting>
  <conditionalFormatting sqref="AD40">
    <cfRule type="cellIs" dxfId="887" priority="4" stopIfTrue="1" operator="lessThan">
      <formula>10000</formula>
    </cfRule>
    <cfRule type="cellIs" dxfId="886" priority="5" stopIfTrue="1" operator="lessThan">
      <formula>13000</formula>
    </cfRule>
    <cfRule type="cellIs" dxfId="885" priority="6" stopIfTrue="1" operator="lessThan">
      <formula>99999</formula>
    </cfRule>
  </conditionalFormatting>
  <conditionalFormatting sqref="AC40">
    <cfRule type="cellIs" dxfId="884" priority="1" stopIfTrue="1" operator="lessThan">
      <formula>1000</formula>
    </cfRule>
    <cfRule type="cellIs" dxfId="883" priority="2" stopIfTrue="1" operator="lessThan">
      <formula>1100</formula>
    </cfRule>
    <cfRule type="cellIs" dxfId="882" priority="3" stopIfTrue="1" operator="lessThan">
      <formula>9999</formula>
    </cfRule>
  </conditionalFormatting>
  <pageMargins left="0.7" right="0.7" top="0.78740157499999996" bottom="0.78740157499999996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7" operator="equal" id="{09B46B19-A85D-459D-B6C1-A96CED279D69}">
            <xm:f>stat!$R$6</xm:f>
            <x14:dxf>
              <font>
                <color rgb="FF0000FF"/>
              </font>
            </x14:dxf>
          </x14:cfRule>
          <xm:sqref>B34 E34 H34 K34 N34 Q34 T34 W34 Z34 AC34 AF34 AI34</xm:sqref>
        </x14:conditionalFormatting>
        <x14:conditionalFormatting xmlns:xm="http://schemas.microsoft.com/office/excel/2006/main">
          <x14:cfRule type="cellIs" priority="8" operator="equal" id="{E3E5602D-1330-4B73-AFA0-BF27CCC9860C}">
            <xm:f>stat!$S$6</xm:f>
            <x14:dxf>
              <font>
                <color rgb="FFFF0000"/>
              </font>
            </x14:dxf>
          </x14:cfRule>
          <xm:sqref>C34 F34 I34 L34 O34 R34 U34 X34 AA34 AD34 AG34 AJ34</xm:sqref>
        </x14:conditionalFormatting>
        <x14:conditionalFormatting xmlns:xm="http://schemas.microsoft.com/office/excel/2006/main">
          <x14:cfRule type="cellIs" priority="34" operator="equal" id="{625B5173-9218-450F-80ED-AE8FDB0D24DE}">
            <xm:f>MAX($C$34,'09'!$C$34,'10'!$C$34,'11'!$C$34,'13'!$C$34)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33" operator="equal" id="{A9F6CB5C-D621-4900-A837-82AB1C22F4EA}">
            <xm:f>MAX($F$34,'09'!$G$34,'10'!$G$34,'11'!$G$34)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32" operator="equal" id="{69627380-3568-4282-9315-EC0D92ACC861}">
            <xm:f>MAX($I$34,'09'!$K$34,'10'!$K$34,'11'!$K$34)</xm:f>
            <x14:dxf>
              <font>
                <b val="0"/>
                <i/>
              </font>
            </x14:dxf>
          </x14:cfRule>
          <xm:sqref>I34</xm:sqref>
        </x14:conditionalFormatting>
        <x14:conditionalFormatting xmlns:xm="http://schemas.microsoft.com/office/excel/2006/main">
          <x14:cfRule type="cellIs" priority="31" operator="equal" id="{0D345F00-F860-4CCE-B27B-77B08802A400}">
            <xm:f>MAX($L$34,'09'!$O$34,'10'!$O$34,'11'!$O$34)</xm:f>
            <x14:dxf>
              <font>
                <b val="0"/>
                <i/>
              </font>
            </x14:dxf>
          </x14:cfRule>
          <xm:sqref>L34</xm:sqref>
        </x14:conditionalFormatting>
        <x14:conditionalFormatting xmlns:xm="http://schemas.microsoft.com/office/excel/2006/main">
          <x14:cfRule type="cellIs" priority="30" operator="equal" id="{CFCBB95E-C8B8-4D8B-86EE-87341EFC7394}">
            <xm:f>MAX($O$34,'09'!$S$34,'10'!$S$34,'11'!$S$34)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29" operator="equal" id="{627CE654-5FAC-44BB-9CA0-77E1E82BDE40}">
            <xm:f>MAX($R$34,'09'!$W$34,'10'!$W$34,'11'!$W$34)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28" operator="equal" id="{3C06F453-C961-4D57-8C30-C3219AE18963}">
            <xm:f>MAX($U$34,'09'!$AA$34,'10'!$AA$34,'11'!$AA$34,'12'!$AA$34)</xm:f>
            <x14:dxf>
              <font>
                <b val="0"/>
                <i/>
              </font>
            </x14:dxf>
          </x14:cfRule>
          <xm:sqref>U34</xm:sqref>
        </x14:conditionalFormatting>
        <x14:conditionalFormatting xmlns:xm="http://schemas.microsoft.com/office/excel/2006/main">
          <x14:cfRule type="cellIs" priority="27" operator="equal" id="{826ED149-3E53-49A5-9707-A8AABD169E9C}">
            <xm:f>MAX($X$34,'09'!$AE$34,'10'!$AE$34,'11'!$AE$34)</xm:f>
            <x14:dxf>
              <font>
                <b val="0"/>
                <i/>
              </font>
            </x14:dxf>
          </x14:cfRule>
          <xm:sqref>X34</xm:sqref>
        </x14:conditionalFormatting>
        <x14:conditionalFormatting xmlns:xm="http://schemas.microsoft.com/office/excel/2006/main">
          <x14:cfRule type="cellIs" priority="26" operator="equal" id="{3C0CEB6C-7399-40CB-9446-A288E516B8F5}">
            <xm:f>MAX($AA$34,'09'!$AI$34,'10'!$AI$34,'11'!$AI$34)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25" operator="equal" id="{8892CD65-3B14-43FD-B95A-388F636AE4AE}">
            <xm:f>MAX($AD$34,'09'!$AM$34,'10'!$AM$34,'11'!$AM$34)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24" operator="equal" id="{66090A9F-41CA-4CEB-9DA4-4D42ADB8C4AF}">
            <xm:f>MAX($AG$34,'09'!$AQ$34,'10'!$AQ$34,'11'!$AQ$34)</xm:f>
            <x14:dxf>
              <font>
                <b val="0"/>
                <i/>
              </font>
            </x14:dxf>
          </x14:cfRule>
          <xm:sqref>AG34</xm:sqref>
        </x14:conditionalFormatting>
        <x14:conditionalFormatting xmlns:xm="http://schemas.microsoft.com/office/excel/2006/main">
          <x14:cfRule type="cellIs" priority="23" operator="equal" id="{158C4D3C-F73F-41F1-92BD-8B794E09FA67}">
            <xm:f>MAX($AJ$34,'09'!$AU$34,'10'!$AU$34,'11'!$AU$34,'12'!$AU$34)</xm:f>
            <x14:dxf>
              <font>
                <b val="0"/>
                <i/>
              </font>
            </x14:dxf>
          </x14:cfRule>
          <xm:sqref>AJ34</xm:sqref>
        </x14:conditionalFormatting>
        <x14:conditionalFormatting xmlns:xm="http://schemas.microsoft.com/office/excel/2006/main">
          <x14:cfRule type="cellIs" priority="22" operator="equal" id="{07D10460-8994-40EA-AC56-E78D85915CE8}">
            <xm:f>MAX($B$34,'09'!$B$34,'10'!$B$34,'11'!$B$34,'12'!$B$34,'14'!$B$34)</xm:f>
            <x14:dxf>
              <font>
                <b val="0"/>
                <i/>
              </font>
              <border>
                <bottom/>
                <vertical/>
                <horizontal/>
              </border>
            </x14:dxf>
          </x14:cfRule>
          <xm:sqref>B34</xm:sqref>
        </x14:conditionalFormatting>
        <x14:conditionalFormatting xmlns:xm="http://schemas.microsoft.com/office/excel/2006/main">
          <x14:cfRule type="cellIs" priority="21" operator="equal" id="{2E2B1E68-463C-431A-9D1A-B5A8D53A9C27}">
            <xm:f>MAX($E$34,'09'!$F$34,'10'!$F$34,'11'!$F$34,'12'!$F$34)</xm:f>
            <x14:dxf>
              <font>
                <b val="0"/>
                <i/>
              </font>
            </x14:dxf>
          </x14:cfRule>
          <xm:sqref>E34</xm:sqref>
        </x14:conditionalFormatting>
        <x14:conditionalFormatting xmlns:xm="http://schemas.microsoft.com/office/excel/2006/main">
          <x14:cfRule type="cellIs" priority="20" operator="equal" id="{F32CDC50-5D43-478A-9853-28D241572D48}">
            <xm:f>MAX($H$34,'09'!$J$34,'10'!$J$34,'11'!$J$34,'12'!$J$34)</xm:f>
            <x14:dxf>
              <font>
                <b val="0"/>
                <i/>
              </font>
            </x14:dxf>
          </x14:cfRule>
          <xm:sqref>H34</xm:sqref>
        </x14:conditionalFormatting>
        <x14:conditionalFormatting xmlns:xm="http://schemas.microsoft.com/office/excel/2006/main">
          <x14:cfRule type="cellIs" priority="19" operator="equal" id="{D36C239C-A666-4614-ABBF-35F5C6FD678B}">
            <xm:f>MAX($K$34,'09'!$N$34,'10'!$N$34,'11'!$N$34,'12'!$N$34)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18" operator="equal" id="{17EA63ED-54C5-4FE9-AF9E-4A4D3A8F3A6E}">
            <xm:f>MAX($N$34,'09'!$R$34,'10'!$R$34,'11'!$R$34,'12'!$R$34)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17" operator="equal" id="{BF34A91F-7283-49E4-93EE-3C5C009418F8}">
            <xm:f>MAX($Q$34,'09'!$V$34,'10'!$V$34,'11'!$V$34,'14'!$V$34)</xm:f>
            <x14:dxf>
              <font>
                <b val="0"/>
                <i/>
              </font>
            </x14:dxf>
          </x14:cfRule>
          <xm:sqref>Q34</xm:sqref>
        </x14:conditionalFormatting>
        <x14:conditionalFormatting xmlns:xm="http://schemas.microsoft.com/office/excel/2006/main">
          <x14:cfRule type="cellIs" priority="16" operator="equal" id="{129A4541-D31D-450C-A961-A3FD8B7D57E3}">
            <xm:f>MAX($T$34,'09'!$Z$34,'10'!$Z$34,'11'!$Z$34,'12'!$Z$34)</xm:f>
            <x14:dxf>
              <font>
                <b val="0"/>
                <i/>
              </font>
            </x14:dxf>
          </x14:cfRule>
          <xm:sqref>T34</xm:sqref>
        </x14:conditionalFormatting>
        <x14:conditionalFormatting xmlns:xm="http://schemas.microsoft.com/office/excel/2006/main">
          <x14:cfRule type="cellIs" priority="15" operator="equal" id="{2AF96AE3-27A7-4AD0-8386-85E10CCDACCB}">
            <xm:f>MAX($W$34,'09'!$AD$34,'10'!$AD$34,'11'!$AD$34,'12'!$AD$34)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14" operator="equal" id="{032E7224-6BC6-4356-B5F3-B9B9010C0A88}">
            <xm:f>MAX($Z$34,'09'!$AH$34,'10'!$AH$34,'11'!$AH$34,'12'!$AH$34,'13'!$AH$34)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3" operator="equal" id="{B30DE23A-0D28-4676-8A1C-3EC6921C0DC0}">
            <xm:f>MAX($AC$34,'09'!$AL$34,'10'!$AL$34,'11'!$AL$34,'12'!$AL$34)</xm:f>
            <x14:dxf>
              <font>
                <b val="0"/>
                <i/>
              </font>
            </x14:dxf>
          </x14:cfRule>
          <xm:sqref>AC34</xm:sqref>
        </x14:conditionalFormatting>
        <x14:conditionalFormatting xmlns:xm="http://schemas.microsoft.com/office/excel/2006/main">
          <x14:cfRule type="cellIs" priority="12" operator="equal" id="{53C23454-581F-4303-ACAB-221C7A9CD672}">
            <xm:f>MAX($AF$34,'09'!$AP$34,'10'!$AP$34,'11'!$AP$34,'14'!$AP$34)</xm:f>
            <x14:dxf>
              <font>
                <b val="0"/>
                <i/>
              </font>
            </x14:dxf>
          </x14:cfRule>
          <xm:sqref>AF34</xm:sqref>
        </x14:conditionalFormatting>
        <x14:conditionalFormatting xmlns:xm="http://schemas.microsoft.com/office/excel/2006/main">
          <x14:cfRule type="cellIs" priority="11" operator="equal" id="{630F734B-61E9-4B59-96CC-299800CC00AC}">
            <xm:f>MAX($AI$34,'09'!$AT$34,'10'!$AT$34,'11'!$AT$34,'12'!$AT$34)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10" operator="equal" id="{8A6ADA06-3F2C-41ED-AEF4-9290D470FF52}">
            <xm:f>MAX($AJ$35,'09'!$AU$35,'10'!$AU$35,'11'!$AU$35,'12'!$AU$35)</xm:f>
            <x14:dxf>
              <font>
                <b/>
                <i/>
              </font>
            </x14:dxf>
          </x14:cfRule>
          <xm:sqref>AI1:AJ1</xm:sqref>
        </x14:conditionalFormatting>
        <x14:conditionalFormatting xmlns:xm="http://schemas.microsoft.com/office/excel/2006/main">
          <x14:cfRule type="cellIs" priority="9" operator="equal" id="{8DDC33A7-1243-4CB7-9060-FFF96857B024}">
            <xm:f>MAX($C$1,'09'!$B$1:$C$1,'10'!$B$1:$C$1,'11'!$B$1:$C$1,'12'!$B$1:$C$1)</xm:f>
            <x14:dxf>
              <font>
                <b/>
                <i/>
              </font>
            </x14:dxf>
          </x14:cfRule>
          <xm:sqref>C1:D1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499984740745262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3" width="5" bestFit="1" customWidth="1"/>
    <col min="4" max="4" width="4.28515625" bestFit="1" customWidth="1"/>
    <col min="5" max="5" width="6.5703125" bestFit="1" customWidth="1"/>
    <col min="6" max="6" width="6.28515625" bestFit="1" customWidth="1"/>
    <col min="7" max="7" width="5.28515625" bestFit="1" customWidth="1"/>
    <col min="8" max="8" width="4.140625" bestFit="1" customWidth="1"/>
    <col min="9" max="9" width="3.5703125" bestFit="1" customWidth="1"/>
    <col min="10" max="10" width="7" bestFit="1" customWidth="1"/>
    <col min="11" max="11" width="6.140625" customWidth="1"/>
    <col min="12" max="12" width="4.5703125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7" bestFit="1" customWidth="1"/>
    <col min="35" max="35" width="5.7109375" bestFit="1" customWidth="1"/>
    <col min="36" max="36" width="4" bestFit="1" customWidth="1"/>
    <col min="37" max="37" width="3.28515625" bestFit="1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customWidth="1"/>
    <col min="43" max="43" width="5.7109375" bestFit="1" customWidth="1"/>
    <col min="44" max="44" width="4" bestFit="1" customWidth="1"/>
    <col min="45" max="45" width="3.7109375" bestFit="1" customWidth="1"/>
    <col min="46" max="46" width="7" bestFit="1" customWidth="1"/>
    <col min="47" max="47" width="5.7109375" bestFit="1" customWidth="1"/>
    <col min="48" max="48" width="4" bestFit="1" customWidth="1"/>
    <col min="49" max="49" width="4.5703125" customWidth="1"/>
  </cols>
  <sheetData>
    <row r="1" spans="1:49" s="94" customFormat="1" ht="18" x14ac:dyDescent="0.25">
      <c r="A1" s="96" t="s">
        <v>243</v>
      </c>
      <c r="B1" s="416">
        <f>AT35+AV35</f>
        <v>7358.33</v>
      </c>
      <c r="C1" s="416"/>
      <c r="D1" s="97" t="s">
        <v>243</v>
      </c>
      <c r="E1" s="417">
        <f>AT35</f>
        <v>6748.33</v>
      </c>
      <c r="F1" s="417"/>
      <c r="G1" s="418" t="s">
        <v>155</v>
      </c>
      <c r="H1" s="418"/>
      <c r="I1" s="414">
        <f>MAX(B36,F36,J36,N36,R36,V36,Z36,AD36,AH36,AL36,AP36,AT36)</f>
        <v>131.44</v>
      </c>
      <c r="J1" s="414"/>
      <c r="K1" s="419" t="s">
        <v>163</v>
      </c>
      <c r="L1" s="419"/>
      <c r="M1" s="420">
        <f>MAX(B34,F34,J34,N34,R34,V34,Z34,AD34,AH34,AL34,AP34,AT34)</f>
        <v>875.8599999999999</v>
      </c>
      <c r="N1" s="420"/>
      <c r="O1" s="413" t="s">
        <v>194</v>
      </c>
      <c r="P1" s="413"/>
      <c r="Q1" s="413"/>
      <c r="R1" s="185">
        <f>MIN(B34,F34,J34,N34,R34,V34,Z34,AD34,AH34,AL34,AP34,AT34)</f>
        <v>268.27000000000004</v>
      </c>
      <c r="S1" s="98" t="s">
        <v>211</v>
      </c>
      <c r="T1" s="426">
        <f>IFERROR(AVERAGE(B37,F37,J37,N37,R37,V37,Z37,AD37,AH37,AL37,AP37,AT37),0)</f>
        <v>28.737098655776773</v>
      </c>
      <c r="U1" s="426"/>
      <c r="V1" s="427" t="s">
        <v>210</v>
      </c>
      <c r="W1" s="427"/>
      <c r="X1" s="427"/>
      <c r="Y1" s="427"/>
      <c r="Z1" s="427"/>
      <c r="AA1" s="99" t="s">
        <v>211</v>
      </c>
      <c r="AB1" s="415">
        <f>IFERROR(AVERAGE(C37,G37,K37,O37,S37,W37,AA37,AE37,AI37,AM37,AQ37,AU37),0)</f>
        <v>285.10348601962454</v>
      </c>
      <c r="AC1" s="415"/>
      <c r="AD1" s="425" t="s">
        <v>194</v>
      </c>
      <c r="AE1" s="425"/>
      <c r="AF1" s="428">
        <f>MIN(C34,G34,K34,O34,S34,W34,AA34,AE34,AI34,AM34,AQ34,AU34)</f>
        <v>1216</v>
      </c>
      <c r="AG1" s="428"/>
      <c r="AH1" s="429" t="s">
        <v>163</v>
      </c>
      <c r="AI1" s="429"/>
      <c r="AJ1" s="430">
        <f>MAX(C34,G34,K34,O34,S34,W34,AA34,AE34,AI34,AM34,AQ34,AU34)</f>
        <v>9324</v>
      </c>
      <c r="AK1" s="430"/>
      <c r="AL1" s="432" t="s">
        <v>156</v>
      </c>
      <c r="AM1" s="432"/>
      <c r="AN1" s="431">
        <f>MAX(C36,G36,K36,O36,S36,W36,AA36,AE36,AI36,AM36,AQ36,AU36)</f>
        <v>1860</v>
      </c>
      <c r="AO1" s="431"/>
      <c r="AP1" s="421" t="s">
        <v>366</v>
      </c>
      <c r="AQ1" s="421"/>
      <c r="AR1" s="422">
        <f>MAX(D36,H36,L36,P36,T36,X36,AB36,AF36,AJ36,AN36,AR36,AV36)</f>
        <v>0.125</v>
      </c>
      <c r="AS1" s="422"/>
      <c r="AT1" s="95" t="s">
        <v>2</v>
      </c>
      <c r="AU1" s="423">
        <f>AU35</f>
        <v>67456</v>
      </c>
      <c r="AV1" s="424"/>
      <c r="AW1" s="121"/>
    </row>
    <row r="2" spans="1:49" s="58" customFormat="1" ht="11.25" x14ac:dyDescent="0.2">
      <c r="A2" s="64" t="s">
        <v>197</v>
      </c>
      <c r="B2" s="49" t="s">
        <v>243</v>
      </c>
      <c r="C2" s="49" t="s">
        <v>2</v>
      </c>
      <c r="D2" s="49" t="s">
        <v>208</v>
      </c>
      <c r="E2" s="70" t="s">
        <v>198</v>
      </c>
      <c r="F2" s="49" t="s">
        <v>243</v>
      </c>
      <c r="G2" s="49" t="s">
        <v>2</v>
      </c>
      <c r="H2" s="49" t="s">
        <v>208</v>
      </c>
      <c r="I2" s="70" t="s">
        <v>200</v>
      </c>
      <c r="J2" s="49" t="s">
        <v>243</v>
      </c>
      <c r="K2" s="49" t="s">
        <v>2</v>
      </c>
      <c r="L2" s="49" t="s">
        <v>208</v>
      </c>
      <c r="M2" s="70" t="s">
        <v>199</v>
      </c>
      <c r="N2" s="49" t="s">
        <v>243</v>
      </c>
      <c r="O2" s="49" t="s">
        <v>2</v>
      </c>
      <c r="P2" s="49" t="s">
        <v>208</v>
      </c>
      <c r="Q2" s="70" t="s">
        <v>100</v>
      </c>
      <c r="R2" s="49" t="s">
        <v>243</v>
      </c>
      <c r="S2" s="49" t="s">
        <v>2</v>
      </c>
      <c r="T2" s="49" t="s">
        <v>208</v>
      </c>
      <c r="U2" s="70" t="s">
        <v>201</v>
      </c>
      <c r="V2" s="49" t="s">
        <v>243</v>
      </c>
      <c r="W2" s="49" t="s">
        <v>2</v>
      </c>
      <c r="X2" s="49" t="s">
        <v>208</v>
      </c>
      <c r="Y2" s="70" t="s">
        <v>202</v>
      </c>
      <c r="Z2" s="49" t="s">
        <v>243</v>
      </c>
      <c r="AA2" s="49" t="s">
        <v>2</v>
      </c>
      <c r="AB2" s="49" t="s">
        <v>208</v>
      </c>
      <c r="AC2" s="70" t="s">
        <v>203</v>
      </c>
      <c r="AD2" s="49" t="s">
        <v>243</v>
      </c>
      <c r="AE2" s="49" t="s">
        <v>2</v>
      </c>
      <c r="AF2" s="49" t="s">
        <v>208</v>
      </c>
      <c r="AG2" s="70" t="s">
        <v>204</v>
      </c>
      <c r="AH2" s="49" t="s">
        <v>243</v>
      </c>
      <c r="AI2" s="49" t="s">
        <v>2</v>
      </c>
      <c r="AJ2" s="49" t="s">
        <v>208</v>
      </c>
      <c r="AK2" s="70" t="s">
        <v>205</v>
      </c>
      <c r="AL2" s="49" t="s">
        <v>243</v>
      </c>
      <c r="AM2" s="49" t="s">
        <v>2</v>
      </c>
      <c r="AN2" s="49" t="s">
        <v>208</v>
      </c>
      <c r="AO2" s="70" t="s">
        <v>206</v>
      </c>
      <c r="AP2" s="49" t="s">
        <v>243</v>
      </c>
      <c r="AQ2" s="49" t="s">
        <v>2</v>
      </c>
      <c r="AR2" s="49" t="s">
        <v>208</v>
      </c>
      <c r="AS2" s="70" t="s">
        <v>207</v>
      </c>
      <c r="AT2" s="49" t="s">
        <v>243</v>
      </c>
      <c r="AU2" s="49" t="s">
        <v>2</v>
      </c>
      <c r="AV2" s="49" t="s">
        <v>208</v>
      </c>
      <c r="AW2" s="105"/>
    </row>
    <row r="3" spans="1:49" s="54" customFormat="1" ht="11.25" x14ac:dyDescent="0.2">
      <c r="A3" s="86">
        <v>1</v>
      </c>
      <c r="B3" s="59">
        <v>11.96</v>
      </c>
      <c r="C3" s="60">
        <v>30</v>
      </c>
      <c r="D3" s="186"/>
      <c r="E3" s="88">
        <v>1</v>
      </c>
      <c r="F3" s="59">
        <v>29.51</v>
      </c>
      <c r="G3" s="60">
        <v>375</v>
      </c>
      <c r="H3" s="186"/>
      <c r="I3" s="88">
        <v>1</v>
      </c>
      <c r="J3" s="59">
        <v>71.22</v>
      </c>
      <c r="K3" s="60">
        <v>820</v>
      </c>
      <c r="L3" s="186"/>
      <c r="M3" s="88">
        <v>1</v>
      </c>
      <c r="N3" s="59">
        <v>50.84</v>
      </c>
      <c r="O3" s="60">
        <v>27</v>
      </c>
      <c r="P3" s="186"/>
      <c r="Q3" s="88">
        <v>1</v>
      </c>
      <c r="R3" s="59">
        <v>21.63</v>
      </c>
      <c r="S3" s="60">
        <v>471</v>
      </c>
      <c r="T3" s="186"/>
      <c r="U3" s="88">
        <v>1</v>
      </c>
      <c r="V3" s="59"/>
      <c r="W3" s="60"/>
      <c r="X3" s="186"/>
      <c r="Y3" s="88">
        <v>1</v>
      </c>
      <c r="Z3" s="59">
        <v>79.33</v>
      </c>
      <c r="AA3" s="60">
        <v>130</v>
      </c>
      <c r="AB3" s="186"/>
      <c r="AC3" s="88">
        <v>1</v>
      </c>
      <c r="AD3" s="59">
        <v>30.09</v>
      </c>
      <c r="AE3" s="60">
        <v>589</v>
      </c>
      <c r="AF3" s="186"/>
      <c r="AG3" s="88">
        <v>1</v>
      </c>
      <c r="AH3" s="59"/>
      <c r="AI3" s="60"/>
      <c r="AJ3" s="186"/>
      <c r="AK3" s="88">
        <v>1</v>
      </c>
      <c r="AL3" s="59"/>
      <c r="AM3" s="60"/>
      <c r="AN3" s="186"/>
      <c r="AO3" s="88">
        <v>1</v>
      </c>
      <c r="AP3" s="59">
        <v>38.4</v>
      </c>
      <c r="AQ3" s="60">
        <v>990</v>
      </c>
      <c r="AR3" s="186"/>
      <c r="AS3" s="88">
        <v>1</v>
      </c>
      <c r="AT3" s="59">
        <v>12.87</v>
      </c>
      <c r="AU3" s="60">
        <v>10</v>
      </c>
      <c r="AV3" s="186"/>
      <c r="AW3" s="73"/>
    </row>
    <row r="4" spans="1:49" s="54" customFormat="1" ht="11.25" x14ac:dyDescent="0.2">
      <c r="A4" s="86">
        <f>A3+1</f>
        <v>2</v>
      </c>
      <c r="B4" s="59">
        <v>12.7</v>
      </c>
      <c r="C4" s="60">
        <v>40</v>
      </c>
      <c r="D4" s="186"/>
      <c r="E4" s="88">
        <f>E3+1</f>
        <v>2</v>
      </c>
      <c r="F4" s="59"/>
      <c r="G4" s="60"/>
      <c r="H4" s="186"/>
      <c r="I4" s="88">
        <f>I3+1</f>
        <v>2</v>
      </c>
      <c r="J4" s="59"/>
      <c r="K4" s="60"/>
      <c r="L4" s="186"/>
      <c r="M4" s="88">
        <f>M3+1</f>
        <v>2</v>
      </c>
      <c r="N4" s="59">
        <v>19.579999999999998</v>
      </c>
      <c r="O4" s="60">
        <v>210</v>
      </c>
      <c r="P4" s="186"/>
      <c r="Q4" s="88">
        <f>Q3+1</f>
        <v>2</v>
      </c>
      <c r="R4" s="59">
        <v>31.71</v>
      </c>
      <c r="S4" s="60">
        <v>487</v>
      </c>
      <c r="T4" s="186"/>
      <c r="U4" s="88">
        <f>U3+1</f>
        <v>2</v>
      </c>
      <c r="V4" s="59">
        <v>24.68</v>
      </c>
      <c r="W4" s="60">
        <v>212</v>
      </c>
      <c r="X4" s="186"/>
      <c r="Y4" s="88">
        <f>Y3+1</f>
        <v>2</v>
      </c>
      <c r="Z4" s="59">
        <v>16.850000000000001</v>
      </c>
      <c r="AA4" s="60">
        <v>536</v>
      </c>
      <c r="AB4" s="186"/>
      <c r="AC4" s="88">
        <f>AC3+1</f>
        <v>2</v>
      </c>
      <c r="AD4" s="59">
        <v>6.59</v>
      </c>
      <c r="AE4" s="60">
        <v>5</v>
      </c>
      <c r="AF4" s="186"/>
      <c r="AG4" s="88">
        <f>AG3+1</f>
        <v>2</v>
      </c>
      <c r="AH4" s="59">
        <v>32.659999999999997</v>
      </c>
      <c r="AI4" s="60">
        <v>720</v>
      </c>
      <c r="AJ4" s="186"/>
      <c r="AK4" s="88">
        <f>AK3+1</f>
        <v>2</v>
      </c>
      <c r="AL4" s="59">
        <v>100.03</v>
      </c>
      <c r="AM4" s="60">
        <v>100</v>
      </c>
      <c r="AN4" s="186"/>
      <c r="AO4" s="88">
        <f>AO3+1</f>
        <v>2</v>
      </c>
      <c r="AP4" s="59">
        <v>60.6</v>
      </c>
      <c r="AQ4" s="60">
        <v>1490</v>
      </c>
      <c r="AR4" s="186"/>
      <c r="AS4" s="88">
        <f>AS3+1</f>
        <v>2</v>
      </c>
      <c r="AT4" s="59">
        <v>17.47</v>
      </c>
      <c r="AU4" s="60">
        <v>10</v>
      </c>
      <c r="AV4" s="186"/>
      <c r="AW4" s="73"/>
    </row>
    <row r="5" spans="1:49" s="54" customFormat="1" ht="11.25" x14ac:dyDescent="0.2">
      <c r="A5" s="86">
        <f t="shared" ref="A5:A33" si="0">A4+1</f>
        <v>3</v>
      </c>
      <c r="B5" s="59">
        <v>48.34</v>
      </c>
      <c r="C5" s="60">
        <v>496</v>
      </c>
      <c r="D5" s="186"/>
      <c r="E5" s="88">
        <f t="shared" ref="E5:E30" si="1">E4+1</f>
        <v>3</v>
      </c>
      <c r="F5" s="59">
        <v>14.15</v>
      </c>
      <c r="G5" s="60">
        <v>146</v>
      </c>
      <c r="H5" s="186"/>
      <c r="I5" s="88">
        <f t="shared" ref="I5:I33" si="2">I4+1</f>
        <v>3</v>
      </c>
      <c r="J5" s="59">
        <v>20.399999999999999</v>
      </c>
      <c r="K5" s="60">
        <v>60</v>
      </c>
      <c r="L5" s="186"/>
      <c r="M5" s="88">
        <f t="shared" ref="M5:M32" si="3">M4+1</f>
        <v>3</v>
      </c>
      <c r="N5" s="59">
        <v>22.2</v>
      </c>
      <c r="O5" s="60">
        <v>175</v>
      </c>
      <c r="P5" s="186"/>
      <c r="Q5" s="88">
        <f t="shared" ref="Q5:Q33" si="4">Q4+1</f>
        <v>3</v>
      </c>
      <c r="R5" s="59">
        <v>131.44</v>
      </c>
      <c r="S5" s="60">
        <v>173</v>
      </c>
      <c r="T5" s="186"/>
      <c r="U5" s="88">
        <f t="shared" ref="U5:U32" si="5">U4+1</f>
        <v>3</v>
      </c>
      <c r="V5" s="59">
        <v>34.119999999999997</v>
      </c>
      <c r="W5" s="60">
        <v>513</v>
      </c>
      <c r="X5" s="186"/>
      <c r="Y5" s="88">
        <f t="shared" ref="Y5:Y33" si="6">Y4+1</f>
        <v>3</v>
      </c>
      <c r="Z5" s="59">
        <v>85.14</v>
      </c>
      <c r="AA5" s="60">
        <v>1100</v>
      </c>
      <c r="AB5" s="186"/>
      <c r="AC5" s="88">
        <f t="shared" ref="AC5:AC33" si="7">AC4+1</f>
        <v>3</v>
      </c>
      <c r="AD5" s="59">
        <v>17.93</v>
      </c>
      <c r="AE5" s="60">
        <v>200</v>
      </c>
      <c r="AF5" s="186"/>
      <c r="AG5" s="88">
        <f t="shared" ref="AG5:AG32" si="8">AG4+1</f>
        <v>3</v>
      </c>
      <c r="AH5" s="59"/>
      <c r="AI5" s="60"/>
      <c r="AJ5" s="186"/>
      <c r="AK5" s="88">
        <f t="shared" ref="AK5:AK33" si="9">AK4+1</f>
        <v>3</v>
      </c>
      <c r="AL5" s="59"/>
      <c r="AM5" s="60"/>
      <c r="AN5" s="186"/>
      <c r="AO5" s="88">
        <f t="shared" ref="AO5:AO32" si="10">AO4+1</f>
        <v>3</v>
      </c>
      <c r="AP5" s="59"/>
      <c r="AQ5" s="60"/>
      <c r="AR5" s="186"/>
      <c r="AS5" s="88">
        <f t="shared" ref="AS5:AS33" si="11">AS4+1</f>
        <v>3</v>
      </c>
      <c r="AT5" s="59"/>
      <c r="AU5" s="60"/>
      <c r="AV5" s="186"/>
      <c r="AW5" s="73"/>
    </row>
    <row r="6" spans="1:49" s="54" customFormat="1" ht="11.25" x14ac:dyDescent="0.2">
      <c r="A6" s="86">
        <f t="shared" si="0"/>
        <v>4</v>
      </c>
      <c r="B6" s="59"/>
      <c r="C6" s="60"/>
      <c r="D6" s="186"/>
      <c r="E6" s="88">
        <f t="shared" si="1"/>
        <v>4</v>
      </c>
      <c r="F6" s="59"/>
      <c r="G6" s="60"/>
      <c r="H6" s="186">
        <v>4.1666666666666664E-2</v>
      </c>
      <c r="I6" s="88">
        <f t="shared" si="2"/>
        <v>4</v>
      </c>
      <c r="J6" s="59">
        <v>21.89</v>
      </c>
      <c r="K6" s="60">
        <v>15</v>
      </c>
      <c r="L6" s="186"/>
      <c r="M6" s="88">
        <f t="shared" si="3"/>
        <v>4</v>
      </c>
      <c r="N6" s="59">
        <v>71.540000000000006</v>
      </c>
      <c r="O6" s="60">
        <v>616</v>
      </c>
      <c r="P6" s="186"/>
      <c r="Q6" s="88">
        <f t="shared" si="4"/>
        <v>4</v>
      </c>
      <c r="R6" s="59"/>
      <c r="S6" s="60"/>
      <c r="T6" s="186"/>
      <c r="U6" s="88">
        <f t="shared" si="5"/>
        <v>4</v>
      </c>
      <c r="V6" s="59">
        <v>25.68</v>
      </c>
      <c r="W6" s="60">
        <v>15</v>
      </c>
      <c r="X6" s="186"/>
      <c r="Y6" s="88">
        <f t="shared" si="6"/>
        <v>4</v>
      </c>
      <c r="Z6" s="59"/>
      <c r="AA6" s="60"/>
      <c r="AB6" s="186"/>
      <c r="AC6" s="88">
        <f t="shared" si="7"/>
        <v>4</v>
      </c>
      <c r="AD6" s="59">
        <v>20.87</v>
      </c>
      <c r="AE6" s="60">
        <v>100</v>
      </c>
      <c r="AF6" s="186"/>
      <c r="AG6" s="88">
        <f t="shared" si="8"/>
        <v>4</v>
      </c>
      <c r="AH6" s="59"/>
      <c r="AI6" s="60"/>
      <c r="AJ6" s="186"/>
      <c r="AK6" s="88">
        <f t="shared" si="9"/>
        <v>4</v>
      </c>
      <c r="AL6" s="59">
        <v>16.399999999999999</v>
      </c>
      <c r="AM6" s="60">
        <v>65</v>
      </c>
      <c r="AN6" s="186"/>
      <c r="AO6" s="88">
        <f t="shared" si="10"/>
        <v>4</v>
      </c>
      <c r="AP6" s="59"/>
      <c r="AQ6" s="60"/>
      <c r="AR6" s="186"/>
      <c r="AS6" s="88">
        <f t="shared" si="11"/>
        <v>4</v>
      </c>
      <c r="AT6" s="59">
        <v>20.170000000000002</v>
      </c>
      <c r="AU6" s="60">
        <v>20</v>
      </c>
      <c r="AV6" s="186"/>
      <c r="AW6" s="73"/>
    </row>
    <row r="7" spans="1:49" s="54" customFormat="1" ht="11.25" x14ac:dyDescent="0.2">
      <c r="A7" s="86">
        <f t="shared" si="0"/>
        <v>5</v>
      </c>
      <c r="B7" s="59"/>
      <c r="C7" s="60"/>
      <c r="D7" s="186"/>
      <c r="E7" s="88">
        <f t="shared" si="1"/>
        <v>5</v>
      </c>
      <c r="F7" s="59"/>
      <c r="G7" s="60"/>
      <c r="H7" s="186"/>
      <c r="I7" s="88">
        <f t="shared" si="2"/>
        <v>5</v>
      </c>
      <c r="J7" s="59"/>
      <c r="K7" s="60"/>
      <c r="L7" s="186"/>
      <c r="M7" s="88">
        <f t="shared" si="3"/>
        <v>5</v>
      </c>
      <c r="N7" s="59">
        <v>50.55</v>
      </c>
      <c r="O7" s="60">
        <v>1006</v>
      </c>
      <c r="P7" s="186"/>
      <c r="Q7" s="88">
        <f t="shared" si="4"/>
        <v>5</v>
      </c>
      <c r="R7" s="59">
        <v>12.42</v>
      </c>
      <c r="S7" s="60">
        <v>33</v>
      </c>
      <c r="T7" s="186"/>
      <c r="U7" s="88">
        <f t="shared" si="5"/>
        <v>5</v>
      </c>
      <c r="V7" s="59">
        <v>29.05</v>
      </c>
      <c r="W7" s="60">
        <v>190</v>
      </c>
      <c r="X7" s="186"/>
      <c r="Y7" s="88">
        <f t="shared" si="6"/>
        <v>5</v>
      </c>
      <c r="Z7" s="59">
        <v>115</v>
      </c>
      <c r="AA7" s="60">
        <v>1241</v>
      </c>
      <c r="AB7" s="186"/>
      <c r="AC7" s="88">
        <f t="shared" si="7"/>
        <v>5</v>
      </c>
      <c r="AD7" s="59">
        <v>16.850000000000001</v>
      </c>
      <c r="AE7" s="60">
        <v>536</v>
      </c>
      <c r="AF7" s="186"/>
      <c r="AG7" s="88">
        <f t="shared" si="8"/>
        <v>5</v>
      </c>
      <c r="AH7" s="59">
        <v>42.06</v>
      </c>
      <c r="AI7" s="60">
        <v>915</v>
      </c>
      <c r="AJ7" s="186"/>
      <c r="AK7" s="88">
        <f t="shared" si="9"/>
        <v>5</v>
      </c>
      <c r="AL7" s="59"/>
      <c r="AM7" s="60"/>
      <c r="AN7" s="186"/>
      <c r="AO7" s="88">
        <f t="shared" si="10"/>
        <v>5</v>
      </c>
      <c r="AP7" s="59"/>
      <c r="AQ7" s="60"/>
      <c r="AR7" s="186"/>
      <c r="AS7" s="88">
        <f t="shared" si="11"/>
        <v>5</v>
      </c>
      <c r="AT7" s="59"/>
      <c r="AU7" s="60"/>
      <c r="AV7" s="186"/>
      <c r="AW7" s="73"/>
    </row>
    <row r="8" spans="1:49" s="54" customFormat="1" ht="11.25" x14ac:dyDescent="0.2">
      <c r="A8" s="86">
        <f t="shared" si="0"/>
        <v>6</v>
      </c>
      <c r="B8" s="59">
        <v>15.6</v>
      </c>
      <c r="C8" s="60">
        <v>40</v>
      </c>
      <c r="D8" s="186">
        <v>4.1666666666666664E-2</v>
      </c>
      <c r="E8" s="88">
        <f t="shared" si="1"/>
        <v>6</v>
      </c>
      <c r="F8" s="59">
        <v>16.91</v>
      </c>
      <c r="G8" s="60">
        <v>125</v>
      </c>
      <c r="H8" s="186"/>
      <c r="I8" s="88">
        <f t="shared" si="2"/>
        <v>6</v>
      </c>
      <c r="J8" s="59"/>
      <c r="K8" s="60"/>
      <c r="L8" s="186"/>
      <c r="M8" s="88">
        <f t="shared" si="3"/>
        <v>6</v>
      </c>
      <c r="N8" s="59">
        <v>20.149999999999999</v>
      </c>
      <c r="O8" s="60">
        <v>10</v>
      </c>
      <c r="P8" s="186"/>
      <c r="Q8" s="88">
        <f t="shared" si="4"/>
        <v>6</v>
      </c>
      <c r="R8" s="59"/>
      <c r="S8" s="60"/>
      <c r="T8" s="186"/>
      <c r="U8" s="88">
        <f t="shared" si="5"/>
        <v>6</v>
      </c>
      <c r="V8" s="59">
        <v>32.99</v>
      </c>
      <c r="W8" s="60">
        <v>190</v>
      </c>
      <c r="X8" s="186"/>
      <c r="Y8" s="88">
        <f t="shared" si="6"/>
        <v>6</v>
      </c>
      <c r="Z8" s="59">
        <v>35.979999999999997</v>
      </c>
      <c r="AA8" s="60">
        <v>75</v>
      </c>
      <c r="AB8" s="186"/>
      <c r="AC8" s="88">
        <f t="shared" si="7"/>
        <v>6</v>
      </c>
      <c r="AD8" s="59">
        <v>8.56</v>
      </c>
      <c r="AE8" s="60">
        <v>30</v>
      </c>
      <c r="AF8" s="186"/>
      <c r="AG8" s="88">
        <f t="shared" si="8"/>
        <v>6</v>
      </c>
      <c r="AH8" s="59">
        <v>10.91</v>
      </c>
      <c r="AI8" s="60">
        <v>5</v>
      </c>
      <c r="AJ8" s="186"/>
      <c r="AK8" s="88">
        <f t="shared" si="9"/>
        <v>6</v>
      </c>
      <c r="AL8" s="59"/>
      <c r="AM8" s="60"/>
      <c r="AN8" s="186"/>
      <c r="AO8" s="88">
        <f t="shared" si="10"/>
        <v>6</v>
      </c>
      <c r="AP8" s="59">
        <v>10</v>
      </c>
      <c r="AQ8" s="60">
        <v>2</v>
      </c>
      <c r="AR8" s="186"/>
      <c r="AS8" s="88">
        <f t="shared" si="11"/>
        <v>6</v>
      </c>
      <c r="AT8" s="59">
        <v>13.91</v>
      </c>
      <c r="AU8" s="60">
        <v>10</v>
      </c>
      <c r="AV8" s="186"/>
      <c r="AW8" s="73"/>
    </row>
    <row r="9" spans="1:49" s="54" customFormat="1" ht="11.25" x14ac:dyDescent="0.2">
      <c r="A9" s="86">
        <f t="shared" si="0"/>
        <v>7</v>
      </c>
      <c r="B9" s="59"/>
      <c r="C9" s="60"/>
      <c r="D9" s="186"/>
      <c r="E9" s="88">
        <f t="shared" si="1"/>
        <v>7</v>
      </c>
      <c r="F9" s="59"/>
      <c r="G9" s="60"/>
      <c r="H9" s="186"/>
      <c r="I9" s="88">
        <f t="shared" si="2"/>
        <v>7</v>
      </c>
      <c r="J9" s="59">
        <v>58.76</v>
      </c>
      <c r="K9" s="60">
        <v>295</v>
      </c>
      <c r="L9" s="186"/>
      <c r="M9" s="88">
        <f t="shared" si="3"/>
        <v>7</v>
      </c>
      <c r="N9" s="59">
        <v>11.53</v>
      </c>
      <c r="O9" s="60">
        <v>91</v>
      </c>
      <c r="P9" s="186"/>
      <c r="Q9" s="88">
        <f t="shared" si="4"/>
        <v>7</v>
      </c>
      <c r="R9" s="59"/>
      <c r="S9" s="60"/>
      <c r="T9" s="186"/>
      <c r="U9" s="88">
        <f t="shared" si="5"/>
        <v>7</v>
      </c>
      <c r="V9" s="59">
        <v>38.58</v>
      </c>
      <c r="W9" s="60">
        <v>100</v>
      </c>
      <c r="X9" s="186"/>
      <c r="Y9" s="88">
        <f t="shared" si="6"/>
        <v>7</v>
      </c>
      <c r="Z9" s="59"/>
      <c r="AA9" s="60"/>
      <c r="AB9" s="186"/>
      <c r="AC9" s="88">
        <f t="shared" si="7"/>
        <v>7</v>
      </c>
      <c r="AD9" s="59"/>
      <c r="AE9" s="60"/>
      <c r="AF9" s="186"/>
      <c r="AG9" s="88">
        <f t="shared" si="8"/>
        <v>7</v>
      </c>
      <c r="AH9" s="59">
        <v>22.4</v>
      </c>
      <c r="AI9" s="60">
        <v>145</v>
      </c>
      <c r="AJ9" s="186"/>
      <c r="AK9" s="88">
        <f t="shared" si="9"/>
        <v>7</v>
      </c>
      <c r="AL9" s="59">
        <v>18.11</v>
      </c>
      <c r="AM9" s="60">
        <v>203</v>
      </c>
      <c r="AN9" s="186"/>
      <c r="AO9" s="88">
        <f t="shared" si="10"/>
        <v>7</v>
      </c>
      <c r="AP9" s="59">
        <v>13.78</v>
      </c>
      <c r="AQ9" s="60">
        <v>10</v>
      </c>
      <c r="AR9" s="186"/>
      <c r="AS9" s="88">
        <f t="shared" si="11"/>
        <v>7</v>
      </c>
      <c r="AT9" s="59"/>
      <c r="AU9" s="60"/>
      <c r="AV9" s="186"/>
      <c r="AW9" s="73"/>
    </row>
    <row r="10" spans="1:49" s="54" customFormat="1" ht="11.25" x14ac:dyDescent="0.2">
      <c r="A10" s="86">
        <f t="shared" si="0"/>
        <v>8</v>
      </c>
      <c r="B10" s="59"/>
      <c r="C10" s="60"/>
      <c r="D10" s="186"/>
      <c r="E10" s="88">
        <f t="shared" si="1"/>
        <v>8</v>
      </c>
      <c r="F10" s="59">
        <v>13.19</v>
      </c>
      <c r="G10" s="60">
        <v>5</v>
      </c>
      <c r="H10" s="186"/>
      <c r="I10" s="88">
        <f t="shared" si="2"/>
        <v>8</v>
      </c>
      <c r="J10" s="59"/>
      <c r="K10" s="60"/>
      <c r="L10" s="186">
        <v>3.125E-2</v>
      </c>
      <c r="M10" s="88">
        <f t="shared" si="3"/>
        <v>8</v>
      </c>
      <c r="N10" s="59">
        <v>24.26</v>
      </c>
      <c r="O10" s="60">
        <v>182</v>
      </c>
      <c r="P10" s="186"/>
      <c r="Q10" s="88">
        <f t="shared" si="4"/>
        <v>8</v>
      </c>
      <c r="R10" s="59">
        <v>20.95</v>
      </c>
      <c r="S10" s="60">
        <v>400</v>
      </c>
      <c r="T10" s="186"/>
      <c r="U10" s="88">
        <f t="shared" si="5"/>
        <v>8</v>
      </c>
      <c r="V10" s="59">
        <v>16.850000000000001</v>
      </c>
      <c r="W10" s="60">
        <v>536</v>
      </c>
      <c r="X10" s="186"/>
      <c r="Y10" s="88">
        <f t="shared" si="6"/>
        <v>8</v>
      </c>
      <c r="Z10" s="59"/>
      <c r="AA10" s="60"/>
      <c r="AB10" s="186">
        <v>4.1666666666666664E-2</v>
      </c>
      <c r="AC10" s="88">
        <f t="shared" si="7"/>
        <v>8</v>
      </c>
      <c r="AD10" s="59">
        <v>111.31</v>
      </c>
      <c r="AE10" s="60">
        <v>1450</v>
      </c>
      <c r="AF10" s="186"/>
      <c r="AG10" s="88">
        <f t="shared" si="8"/>
        <v>8</v>
      </c>
      <c r="AH10" s="54">
        <v>17.13</v>
      </c>
      <c r="AI10" s="54">
        <v>369</v>
      </c>
      <c r="AJ10" s="186"/>
      <c r="AK10" s="88">
        <f t="shared" si="9"/>
        <v>8</v>
      </c>
      <c r="AL10" s="59"/>
      <c r="AM10" s="60"/>
      <c r="AN10" s="186"/>
      <c r="AO10" s="88">
        <f t="shared" si="10"/>
        <v>8</v>
      </c>
      <c r="AP10" s="59"/>
      <c r="AQ10" s="60"/>
      <c r="AR10" s="186"/>
      <c r="AS10" s="88">
        <f t="shared" si="11"/>
        <v>8</v>
      </c>
      <c r="AT10" s="59">
        <v>17.98</v>
      </c>
      <c r="AU10" s="60">
        <v>10</v>
      </c>
      <c r="AV10" s="186"/>
      <c r="AW10" s="73"/>
    </row>
    <row r="11" spans="1:49" s="54" customFormat="1" ht="11.25" x14ac:dyDescent="0.2">
      <c r="A11" s="86">
        <f t="shared" si="0"/>
        <v>9</v>
      </c>
      <c r="B11" s="59">
        <v>10.37</v>
      </c>
      <c r="C11" s="60">
        <v>25</v>
      </c>
      <c r="D11" s="186"/>
      <c r="E11" s="88">
        <f t="shared" si="1"/>
        <v>9</v>
      </c>
      <c r="F11" s="59">
        <v>13.57</v>
      </c>
      <c r="G11" s="60">
        <v>140</v>
      </c>
      <c r="H11" s="186">
        <v>4.1666666666666664E-2</v>
      </c>
      <c r="I11" s="88">
        <f t="shared" si="2"/>
        <v>9</v>
      </c>
      <c r="J11" s="59"/>
      <c r="K11" s="60"/>
      <c r="L11" s="186">
        <v>4.8611111111111112E-2</v>
      </c>
      <c r="M11" s="88">
        <f t="shared" si="3"/>
        <v>9</v>
      </c>
      <c r="N11" s="59">
        <v>24.68</v>
      </c>
      <c r="O11" s="60">
        <v>212</v>
      </c>
      <c r="P11" s="186"/>
      <c r="Q11" s="88">
        <f t="shared" si="4"/>
        <v>9</v>
      </c>
      <c r="R11" s="59">
        <v>48.37</v>
      </c>
      <c r="S11" s="60">
        <v>410</v>
      </c>
      <c r="T11" s="186"/>
      <c r="U11" s="88">
        <f t="shared" si="5"/>
        <v>9</v>
      </c>
      <c r="V11" s="59">
        <v>24.91</v>
      </c>
      <c r="W11" s="60">
        <v>358</v>
      </c>
      <c r="X11" s="186"/>
      <c r="Y11" s="88">
        <f t="shared" si="6"/>
        <v>9</v>
      </c>
      <c r="Z11" s="59">
        <v>19.88</v>
      </c>
      <c r="AA11" s="60">
        <v>278</v>
      </c>
      <c r="AB11" s="186"/>
      <c r="AC11" s="88">
        <f t="shared" si="7"/>
        <v>9</v>
      </c>
      <c r="AD11" s="59">
        <v>11.4</v>
      </c>
      <c r="AE11" s="60">
        <v>35</v>
      </c>
      <c r="AF11" s="186"/>
      <c r="AG11" s="88">
        <f t="shared" si="8"/>
        <v>9</v>
      </c>
      <c r="AH11" s="59">
        <v>20.09</v>
      </c>
      <c r="AI11" s="60">
        <v>432</v>
      </c>
      <c r="AJ11" s="186"/>
      <c r="AK11" s="88">
        <f t="shared" si="9"/>
        <v>9</v>
      </c>
      <c r="AL11" s="59">
        <v>17.79</v>
      </c>
      <c r="AM11" s="60">
        <v>147</v>
      </c>
      <c r="AN11" s="186"/>
      <c r="AO11" s="88">
        <f t="shared" si="10"/>
        <v>9</v>
      </c>
      <c r="AP11" s="59"/>
      <c r="AQ11" s="60"/>
      <c r="AR11" s="186"/>
      <c r="AS11" s="88">
        <f t="shared" si="11"/>
        <v>9</v>
      </c>
      <c r="AT11" s="59">
        <v>12.23</v>
      </c>
      <c r="AU11" s="60">
        <v>312</v>
      </c>
      <c r="AV11" s="186"/>
      <c r="AW11" s="73"/>
    </row>
    <row r="12" spans="1:49" s="54" customFormat="1" ht="11.25" x14ac:dyDescent="0.2">
      <c r="A12" s="86">
        <f t="shared" si="0"/>
        <v>10</v>
      </c>
      <c r="B12" s="59">
        <v>15.6</v>
      </c>
      <c r="C12" s="60">
        <v>40</v>
      </c>
      <c r="D12" s="186">
        <v>4.1666666666666664E-2</v>
      </c>
      <c r="E12" s="88">
        <f t="shared" si="1"/>
        <v>10</v>
      </c>
      <c r="F12" s="59"/>
      <c r="G12" s="60"/>
      <c r="H12" s="186">
        <v>4.1666666666666664E-2</v>
      </c>
      <c r="I12" s="88">
        <f t="shared" si="2"/>
        <v>10</v>
      </c>
      <c r="J12" s="59"/>
      <c r="K12" s="60"/>
      <c r="L12" s="186"/>
      <c r="M12" s="88">
        <f t="shared" si="3"/>
        <v>10</v>
      </c>
      <c r="N12" s="59">
        <v>35.520000000000003</v>
      </c>
      <c r="O12" s="60">
        <v>547</v>
      </c>
      <c r="P12" s="186"/>
      <c r="Q12" s="88">
        <f t="shared" si="4"/>
        <v>10</v>
      </c>
      <c r="R12" s="59">
        <v>67.239999999999995</v>
      </c>
      <c r="S12" s="60">
        <v>680</v>
      </c>
      <c r="T12" s="186"/>
      <c r="U12" s="88">
        <f t="shared" si="5"/>
        <v>10</v>
      </c>
      <c r="V12" s="59">
        <v>40.130000000000003</v>
      </c>
      <c r="W12" s="60">
        <v>80</v>
      </c>
      <c r="X12" s="186"/>
      <c r="Y12" s="88">
        <f t="shared" si="6"/>
        <v>10</v>
      </c>
      <c r="Z12" s="59">
        <v>91.5</v>
      </c>
      <c r="AA12" s="60">
        <v>1090</v>
      </c>
      <c r="AB12" s="186"/>
      <c r="AC12" s="88">
        <f t="shared" si="7"/>
        <v>10</v>
      </c>
      <c r="AD12" s="59">
        <v>16</v>
      </c>
      <c r="AE12" s="60">
        <v>60</v>
      </c>
      <c r="AF12" s="186"/>
      <c r="AG12" s="88">
        <f t="shared" si="8"/>
        <v>10</v>
      </c>
      <c r="AJ12" s="186"/>
      <c r="AK12" s="88">
        <f t="shared" si="9"/>
        <v>10</v>
      </c>
      <c r="AL12" s="59"/>
      <c r="AM12" s="60"/>
      <c r="AN12" s="186"/>
      <c r="AO12" s="88">
        <f t="shared" si="10"/>
        <v>10</v>
      </c>
      <c r="AP12" s="59"/>
      <c r="AQ12" s="60"/>
      <c r="AR12" s="186"/>
      <c r="AS12" s="88">
        <f t="shared" si="11"/>
        <v>10</v>
      </c>
      <c r="AT12" s="59"/>
      <c r="AU12" s="60"/>
      <c r="AV12" s="186"/>
      <c r="AW12" s="73"/>
    </row>
    <row r="13" spans="1:49" s="54" customFormat="1" ht="11.25" x14ac:dyDescent="0.2">
      <c r="A13" s="86">
        <f t="shared" si="0"/>
        <v>11</v>
      </c>
      <c r="B13" s="59">
        <v>15.6</v>
      </c>
      <c r="C13" s="60">
        <v>40</v>
      </c>
      <c r="D13" s="186">
        <v>4.1666666666666664E-2</v>
      </c>
      <c r="E13" s="88">
        <f t="shared" si="1"/>
        <v>11</v>
      </c>
      <c r="F13" s="59">
        <v>10.52</v>
      </c>
      <c r="G13" s="60">
        <v>60</v>
      </c>
      <c r="H13" s="186"/>
      <c r="I13" s="88">
        <f t="shared" si="2"/>
        <v>11</v>
      </c>
      <c r="J13" s="59"/>
      <c r="K13" s="60"/>
      <c r="L13" s="186"/>
      <c r="M13" s="88">
        <f t="shared" si="3"/>
        <v>11</v>
      </c>
      <c r="N13" s="59">
        <v>36.6</v>
      </c>
      <c r="O13" s="60">
        <v>778</v>
      </c>
      <c r="P13" s="186"/>
      <c r="Q13" s="88">
        <f t="shared" si="4"/>
        <v>11</v>
      </c>
      <c r="R13" s="59"/>
      <c r="S13" s="60"/>
      <c r="T13" s="186"/>
      <c r="U13" s="88">
        <f t="shared" si="5"/>
        <v>11</v>
      </c>
      <c r="V13" s="59"/>
      <c r="W13" s="60"/>
      <c r="X13" s="186"/>
      <c r="Y13" s="88">
        <f t="shared" si="6"/>
        <v>11</v>
      </c>
      <c r="Z13" s="59"/>
      <c r="AA13" s="60"/>
      <c r="AB13" s="186"/>
      <c r="AC13" s="88">
        <f t="shared" si="7"/>
        <v>11</v>
      </c>
      <c r="AD13" s="59">
        <v>20.6</v>
      </c>
      <c r="AE13" s="60">
        <v>85</v>
      </c>
      <c r="AF13" s="186"/>
      <c r="AG13" s="88">
        <f t="shared" si="8"/>
        <v>11</v>
      </c>
      <c r="AH13" s="59">
        <v>17.18</v>
      </c>
      <c r="AI13" s="60">
        <v>369</v>
      </c>
      <c r="AJ13" s="186"/>
      <c r="AK13" s="88">
        <f t="shared" si="9"/>
        <v>11</v>
      </c>
      <c r="AL13" s="59">
        <v>20.07</v>
      </c>
      <c r="AM13" s="60">
        <v>30</v>
      </c>
      <c r="AN13" s="186"/>
      <c r="AO13" s="88">
        <f t="shared" si="10"/>
        <v>11</v>
      </c>
      <c r="AP13" s="59">
        <v>15.82</v>
      </c>
      <c r="AQ13" s="60">
        <v>15</v>
      </c>
      <c r="AR13" s="186"/>
      <c r="AS13" s="88">
        <f t="shared" si="11"/>
        <v>11</v>
      </c>
      <c r="AT13" s="59">
        <v>20.78</v>
      </c>
      <c r="AU13" s="60">
        <v>40</v>
      </c>
      <c r="AV13" s="186"/>
      <c r="AW13" s="73"/>
    </row>
    <row r="14" spans="1:49" s="54" customFormat="1" ht="11.25" x14ac:dyDescent="0.2">
      <c r="A14" s="86">
        <f t="shared" si="0"/>
        <v>12</v>
      </c>
      <c r="B14" s="59">
        <v>10.5</v>
      </c>
      <c r="C14" s="60">
        <v>21</v>
      </c>
      <c r="D14" s="186"/>
      <c r="E14" s="88">
        <f t="shared" si="1"/>
        <v>12</v>
      </c>
      <c r="F14" s="59"/>
      <c r="G14" s="60"/>
      <c r="H14" s="186">
        <v>3.125E-2</v>
      </c>
      <c r="I14" s="88">
        <f t="shared" si="2"/>
        <v>12</v>
      </c>
      <c r="J14" s="59"/>
      <c r="K14" s="60"/>
      <c r="L14" s="186">
        <v>4.1666666666666664E-2</v>
      </c>
      <c r="M14" s="88">
        <f t="shared" si="3"/>
        <v>12</v>
      </c>
      <c r="N14" s="59">
        <v>27.35</v>
      </c>
      <c r="O14" s="60">
        <v>463</v>
      </c>
      <c r="P14" s="186"/>
      <c r="Q14" s="88">
        <f t="shared" si="4"/>
        <v>12</v>
      </c>
      <c r="R14" s="59">
        <v>39.33</v>
      </c>
      <c r="S14" s="60">
        <v>25</v>
      </c>
      <c r="T14" s="186"/>
      <c r="U14" s="88">
        <f t="shared" si="5"/>
        <v>12</v>
      </c>
      <c r="V14" s="59">
        <v>58.74</v>
      </c>
      <c r="W14" s="60">
        <v>715</v>
      </c>
      <c r="X14" s="186"/>
      <c r="Y14" s="88">
        <f t="shared" si="6"/>
        <v>12</v>
      </c>
      <c r="Z14" s="59">
        <v>7.37</v>
      </c>
      <c r="AA14" s="60">
        <v>0</v>
      </c>
      <c r="AB14" s="186"/>
      <c r="AC14" s="88">
        <f t="shared" si="7"/>
        <v>12</v>
      </c>
      <c r="AD14" s="59">
        <v>19.21</v>
      </c>
      <c r="AE14" s="60">
        <v>135</v>
      </c>
      <c r="AF14" s="186"/>
      <c r="AG14" s="88">
        <f t="shared" si="8"/>
        <v>12</v>
      </c>
      <c r="AH14" s="59">
        <v>44.76</v>
      </c>
      <c r="AI14" s="60">
        <v>795</v>
      </c>
      <c r="AJ14" s="186"/>
      <c r="AK14" s="88">
        <f t="shared" si="9"/>
        <v>12</v>
      </c>
      <c r="AL14" s="59"/>
      <c r="AM14" s="60"/>
      <c r="AN14" s="186"/>
      <c r="AO14" s="88">
        <f t="shared" si="10"/>
        <v>12</v>
      </c>
      <c r="AP14" s="59"/>
      <c r="AQ14" s="60"/>
      <c r="AR14" s="186"/>
      <c r="AS14" s="88">
        <f t="shared" si="11"/>
        <v>12</v>
      </c>
      <c r="AT14" s="59"/>
      <c r="AU14" s="60"/>
      <c r="AV14" s="186"/>
      <c r="AW14" s="73"/>
    </row>
    <row r="15" spans="1:49" s="54" customFormat="1" ht="11.25" x14ac:dyDescent="0.2">
      <c r="A15" s="86">
        <f t="shared" si="0"/>
        <v>13</v>
      </c>
      <c r="B15" s="59"/>
      <c r="C15" s="60"/>
      <c r="D15" s="186"/>
      <c r="E15" s="88">
        <f t="shared" si="1"/>
        <v>13</v>
      </c>
      <c r="F15" s="59">
        <v>10.61</v>
      </c>
      <c r="G15" s="60">
        <v>15</v>
      </c>
      <c r="H15" s="186">
        <v>4.1666666666666664E-2</v>
      </c>
      <c r="I15" s="88">
        <f t="shared" si="2"/>
        <v>13</v>
      </c>
      <c r="J15" s="59">
        <v>22.95</v>
      </c>
      <c r="K15" s="60">
        <v>160</v>
      </c>
      <c r="L15" s="186">
        <v>4.1666666666666664E-2</v>
      </c>
      <c r="M15" s="88">
        <f t="shared" si="3"/>
        <v>13</v>
      </c>
      <c r="N15" s="59">
        <v>46.37</v>
      </c>
      <c r="O15" s="60">
        <v>425</v>
      </c>
      <c r="P15" s="186"/>
      <c r="Q15" s="88">
        <f t="shared" si="4"/>
        <v>13</v>
      </c>
      <c r="R15" s="59">
        <v>12.92</v>
      </c>
      <c r="S15" s="60">
        <v>20</v>
      </c>
      <c r="T15" s="186"/>
      <c r="U15" s="88">
        <f t="shared" si="5"/>
        <v>13</v>
      </c>
      <c r="V15" s="59"/>
      <c r="W15" s="60"/>
      <c r="X15" s="186"/>
      <c r="Y15" s="88">
        <f t="shared" si="6"/>
        <v>13</v>
      </c>
      <c r="Z15" s="59">
        <v>16.850000000000001</v>
      </c>
      <c r="AA15" s="60">
        <v>536</v>
      </c>
      <c r="AB15" s="186"/>
      <c r="AC15" s="88">
        <f t="shared" si="7"/>
        <v>13</v>
      </c>
      <c r="AD15" s="59">
        <v>17.739999999999998</v>
      </c>
      <c r="AE15" s="60">
        <v>91</v>
      </c>
      <c r="AF15" s="186"/>
      <c r="AG15" s="88">
        <f t="shared" si="8"/>
        <v>13</v>
      </c>
      <c r="AH15" s="59">
        <v>29.8</v>
      </c>
      <c r="AI15" s="60">
        <v>140</v>
      </c>
      <c r="AJ15" s="186"/>
      <c r="AK15" s="88">
        <f t="shared" si="9"/>
        <v>13</v>
      </c>
      <c r="AL15" s="59"/>
      <c r="AM15" s="60"/>
      <c r="AN15" s="186">
        <v>4.1666666666666664E-2</v>
      </c>
      <c r="AO15" s="88">
        <f t="shared" si="10"/>
        <v>13</v>
      </c>
      <c r="AP15" s="59">
        <v>19.22</v>
      </c>
      <c r="AQ15" s="60">
        <v>20</v>
      </c>
      <c r="AR15" s="186"/>
      <c r="AS15" s="88">
        <f t="shared" si="11"/>
        <v>13</v>
      </c>
      <c r="AT15" s="59">
        <v>23.08</v>
      </c>
      <c r="AU15" s="60">
        <v>44</v>
      </c>
      <c r="AV15" s="186">
        <v>2.0833333333333332E-2</v>
      </c>
      <c r="AW15" s="73"/>
    </row>
    <row r="16" spans="1:49" s="54" customFormat="1" ht="11.25" x14ac:dyDescent="0.2">
      <c r="A16" s="86">
        <f t="shared" si="0"/>
        <v>14</v>
      </c>
      <c r="B16" s="59"/>
      <c r="C16" s="60"/>
      <c r="D16" s="186"/>
      <c r="E16" s="88">
        <f t="shared" si="1"/>
        <v>14</v>
      </c>
      <c r="F16" s="59">
        <v>11.95</v>
      </c>
      <c r="G16" s="60">
        <v>315</v>
      </c>
      <c r="H16" s="186"/>
      <c r="I16" s="88">
        <f t="shared" si="2"/>
        <v>14</v>
      </c>
      <c r="J16" s="59">
        <v>23</v>
      </c>
      <c r="K16" s="60">
        <v>280</v>
      </c>
      <c r="L16" s="186"/>
      <c r="M16" s="88">
        <f t="shared" si="3"/>
        <v>14</v>
      </c>
      <c r="N16" s="59">
        <v>14.51</v>
      </c>
      <c r="O16" s="60">
        <v>10</v>
      </c>
      <c r="P16" s="186"/>
      <c r="Q16" s="88">
        <f t="shared" si="4"/>
        <v>14</v>
      </c>
      <c r="T16" s="186"/>
      <c r="U16" s="88">
        <f t="shared" si="5"/>
        <v>14</v>
      </c>
      <c r="V16" s="59">
        <v>124</v>
      </c>
      <c r="W16" s="60">
        <v>1445</v>
      </c>
      <c r="X16" s="186"/>
      <c r="Y16" s="88">
        <f t="shared" si="6"/>
        <v>14</v>
      </c>
      <c r="Z16" s="59">
        <v>12.94</v>
      </c>
      <c r="AA16" s="60">
        <v>40</v>
      </c>
      <c r="AB16" s="186"/>
      <c r="AC16" s="88">
        <f t="shared" si="7"/>
        <v>14</v>
      </c>
      <c r="AD16" s="59">
        <v>7.1</v>
      </c>
      <c r="AE16" s="60">
        <v>5</v>
      </c>
      <c r="AF16" s="186"/>
      <c r="AG16" s="88">
        <f t="shared" si="8"/>
        <v>14</v>
      </c>
      <c r="AH16" s="59"/>
      <c r="AI16" s="60"/>
      <c r="AJ16" s="186"/>
      <c r="AK16" s="88">
        <f t="shared" si="9"/>
        <v>14</v>
      </c>
      <c r="AL16" s="59"/>
      <c r="AM16" s="60"/>
      <c r="AN16" s="186"/>
      <c r="AO16" s="88">
        <f t="shared" si="10"/>
        <v>14</v>
      </c>
      <c r="AP16" s="59">
        <v>17.21</v>
      </c>
      <c r="AQ16" s="60">
        <v>10</v>
      </c>
      <c r="AR16" s="186"/>
      <c r="AS16" s="88">
        <f t="shared" si="11"/>
        <v>14</v>
      </c>
      <c r="AT16" s="59"/>
      <c r="AU16" s="60"/>
      <c r="AV16" s="186"/>
      <c r="AW16" s="73"/>
    </row>
    <row r="17" spans="1:49" s="54" customFormat="1" ht="11.25" x14ac:dyDescent="0.2">
      <c r="A17" s="86">
        <f t="shared" si="0"/>
        <v>15</v>
      </c>
      <c r="B17" s="59">
        <v>10.119999999999999</v>
      </c>
      <c r="C17" s="60">
        <v>90</v>
      </c>
      <c r="D17" s="186"/>
      <c r="E17" s="88">
        <f t="shared" si="1"/>
        <v>15</v>
      </c>
      <c r="F17" s="59">
        <v>23.9</v>
      </c>
      <c r="G17" s="60">
        <v>630</v>
      </c>
      <c r="H17" s="186"/>
      <c r="I17" s="88">
        <f t="shared" si="2"/>
        <v>15</v>
      </c>
      <c r="J17" s="59">
        <v>29</v>
      </c>
      <c r="K17" s="60">
        <v>90</v>
      </c>
      <c r="L17" s="186"/>
      <c r="M17" s="88">
        <f t="shared" si="3"/>
        <v>15</v>
      </c>
      <c r="N17" s="59"/>
      <c r="O17" s="60"/>
      <c r="P17" s="186"/>
      <c r="Q17" s="88">
        <f t="shared" si="4"/>
        <v>15</v>
      </c>
      <c r="T17" s="186"/>
      <c r="U17" s="88">
        <f t="shared" si="5"/>
        <v>15</v>
      </c>
      <c r="V17" s="59"/>
      <c r="W17" s="60"/>
      <c r="X17" s="186"/>
      <c r="Y17" s="88">
        <f t="shared" si="6"/>
        <v>15</v>
      </c>
      <c r="Z17" s="59">
        <v>25.11</v>
      </c>
      <c r="AA17" s="60">
        <v>392</v>
      </c>
      <c r="AB17" s="186"/>
      <c r="AC17" s="88">
        <f t="shared" si="7"/>
        <v>15</v>
      </c>
      <c r="AD17" s="59">
        <v>55.08</v>
      </c>
      <c r="AE17" s="60">
        <v>1305</v>
      </c>
      <c r="AF17" s="186"/>
      <c r="AG17" s="88">
        <f t="shared" si="8"/>
        <v>15</v>
      </c>
      <c r="AH17" s="59">
        <v>36.92</v>
      </c>
      <c r="AI17" s="60">
        <v>443</v>
      </c>
      <c r="AJ17" s="186"/>
      <c r="AK17" s="88">
        <f t="shared" si="9"/>
        <v>15</v>
      </c>
      <c r="AL17" s="59"/>
      <c r="AM17" s="60"/>
      <c r="AN17" s="186">
        <v>4.1666666666666664E-2</v>
      </c>
      <c r="AO17" s="88">
        <f t="shared" si="10"/>
        <v>15</v>
      </c>
      <c r="AP17" s="59">
        <v>10.1</v>
      </c>
      <c r="AQ17" s="60">
        <v>306</v>
      </c>
      <c r="AR17" s="186"/>
      <c r="AS17" s="88">
        <f t="shared" si="11"/>
        <v>15</v>
      </c>
      <c r="AT17" s="59">
        <v>16.86</v>
      </c>
      <c r="AU17" s="60">
        <v>20</v>
      </c>
      <c r="AV17" s="186"/>
      <c r="AW17" s="73"/>
    </row>
    <row r="18" spans="1:49" s="54" customFormat="1" ht="11.25" x14ac:dyDescent="0.2">
      <c r="A18" s="86">
        <f t="shared" si="0"/>
        <v>16</v>
      </c>
      <c r="B18" s="59"/>
      <c r="C18" s="60"/>
      <c r="D18" s="186">
        <v>8.3333333333333329E-2</v>
      </c>
      <c r="E18" s="88">
        <f t="shared" si="1"/>
        <v>16</v>
      </c>
      <c r="F18" s="59"/>
      <c r="G18" s="60"/>
      <c r="H18" s="186"/>
      <c r="I18" s="88">
        <f t="shared" si="2"/>
        <v>16</v>
      </c>
      <c r="J18" s="59">
        <v>10.15</v>
      </c>
      <c r="K18" s="60">
        <v>306</v>
      </c>
      <c r="L18" s="186"/>
      <c r="M18" s="88">
        <f t="shared" si="3"/>
        <v>16</v>
      </c>
      <c r="N18" s="59">
        <v>10.72</v>
      </c>
      <c r="O18" s="60">
        <v>65</v>
      </c>
      <c r="P18" s="186"/>
      <c r="Q18" s="88">
        <f t="shared" si="4"/>
        <v>16</v>
      </c>
      <c r="R18" s="59">
        <v>86.53</v>
      </c>
      <c r="S18" s="60">
        <v>1105</v>
      </c>
      <c r="T18" s="186"/>
      <c r="U18" s="88">
        <f t="shared" si="5"/>
        <v>16</v>
      </c>
      <c r="V18" s="59">
        <v>13.6</v>
      </c>
      <c r="W18" s="60">
        <v>10</v>
      </c>
      <c r="X18" s="186"/>
      <c r="Y18" s="88">
        <f t="shared" si="6"/>
        <v>16</v>
      </c>
      <c r="Z18" s="59">
        <v>16.5</v>
      </c>
      <c r="AA18" s="60">
        <v>357</v>
      </c>
      <c r="AB18" s="186"/>
      <c r="AC18" s="88">
        <f t="shared" si="7"/>
        <v>16</v>
      </c>
      <c r="AD18" s="59">
        <v>48.78</v>
      </c>
      <c r="AE18" s="60">
        <v>679</v>
      </c>
      <c r="AF18" s="186"/>
      <c r="AG18" s="88">
        <f t="shared" si="8"/>
        <v>16</v>
      </c>
      <c r="AH18" s="59">
        <v>24.22</v>
      </c>
      <c r="AI18" s="60">
        <v>25</v>
      </c>
      <c r="AJ18" s="186"/>
      <c r="AK18" s="88">
        <f t="shared" si="9"/>
        <v>16</v>
      </c>
      <c r="AL18" s="59"/>
      <c r="AM18" s="60"/>
      <c r="AN18" s="186"/>
      <c r="AO18" s="88">
        <f t="shared" si="10"/>
        <v>16</v>
      </c>
      <c r="AP18" s="59"/>
      <c r="AQ18" s="60"/>
      <c r="AR18" s="186"/>
      <c r="AS18" s="88">
        <f t="shared" si="11"/>
        <v>16</v>
      </c>
      <c r="AT18" s="59">
        <v>17.37</v>
      </c>
      <c r="AU18" s="60">
        <v>26</v>
      </c>
      <c r="AV18" s="186"/>
      <c r="AW18" s="73"/>
    </row>
    <row r="19" spans="1:49" s="54" customFormat="1" ht="11.25" x14ac:dyDescent="0.2">
      <c r="A19" s="86">
        <f t="shared" si="0"/>
        <v>17</v>
      </c>
      <c r="B19" s="59">
        <v>15.56</v>
      </c>
      <c r="C19" s="60">
        <v>85</v>
      </c>
      <c r="D19" s="186"/>
      <c r="E19" s="88">
        <f t="shared" si="1"/>
        <v>17</v>
      </c>
      <c r="F19" s="59"/>
      <c r="G19" s="60"/>
      <c r="H19" s="186">
        <v>2.0833333333333332E-2</v>
      </c>
      <c r="I19" s="88">
        <f t="shared" si="2"/>
        <v>17</v>
      </c>
      <c r="J19" s="59">
        <v>16.77</v>
      </c>
      <c r="K19" s="60">
        <v>336</v>
      </c>
      <c r="L19" s="186"/>
      <c r="M19" s="88">
        <f t="shared" si="3"/>
        <v>17</v>
      </c>
      <c r="N19" s="59"/>
      <c r="O19" s="60"/>
      <c r="P19" s="186"/>
      <c r="Q19" s="88">
        <f t="shared" si="4"/>
        <v>17</v>
      </c>
      <c r="R19" s="59">
        <v>73.650000000000006</v>
      </c>
      <c r="S19" s="60">
        <v>630</v>
      </c>
      <c r="T19" s="186"/>
      <c r="U19" s="88">
        <f t="shared" si="5"/>
        <v>17</v>
      </c>
      <c r="V19" s="59"/>
      <c r="W19" s="60"/>
      <c r="X19" s="186"/>
      <c r="Y19" s="88">
        <f t="shared" si="6"/>
        <v>17</v>
      </c>
      <c r="Z19" s="59">
        <v>11.8</v>
      </c>
      <c r="AA19" s="60">
        <v>5</v>
      </c>
      <c r="AB19" s="186"/>
      <c r="AC19" s="88">
        <f t="shared" si="7"/>
        <v>17</v>
      </c>
      <c r="AD19" s="59"/>
      <c r="AE19" s="60"/>
      <c r="AF19" s="186"/>
      <c r="AG19" s="88">
        <f t="shared" si="8"/>
        <v>17</v>
      </c>
      <c r="AH19" s="59"/>
      <c r="AI19" s="60"/>
      <c r="AJ19" s="186"/>
      <c r="AK19" s="88">
        <f t="shared" si="9"/>
        <v>17</v>
      </c>
      <c r="AL19" s="59"/>
      <c r="AM19" s="60"/>
      <c r="AN19" s="186"/>
      <c r="AO19" s="88">
        <f t="shared" si="10"/>
        <v>17</v>
      </c>
      <c r="AP19" s="59"/>
      <c r="AQ19" s="60"/>
      <c r="AR19" s="186"/>
      <c r="AS19" s="88">
        <f t="shared" si="11"/>
        <v>17</v>
      </c>
      <c r="AT19" s="59"/>
      <c r="AU19" s="60"/>
      <c r="AV19" s="186"/>
      <c r="AW19" s="73"/>
    </row>
    <row r="20" spans="1:49" s="54" customFormat="1" ht="11.25" x14ac:dyDescent="0.2">
      <c r="A20" s="86">
        <f t="shared" si="0"/>
        <v>18</v>
      </c>
      <c r="B20" s="59"/>
      <c r="C20" s="60"/>
      <c r="D20" s="186"/>
      <c r="E20" s="88">
        <f t="shared" si="1"/>
        <v>18</v>
      </c>
      <c r="F20" s="59">
        <v>16.61</v>
      </c>
      <c r="G20" s="60">
        <v>158</v>
      </c>
      <c r="H20" s="186"/>
      <c r="I20" s="88">
        <f t="shared" si="2"/>
        <v>18</v>
      </c>
      <c r="J20" s="59"/>
      <c r="K20" s="60"/>
      <c r="L20" s="186"/>
      <c r="M20" s="88">
        <f t="shared" si="3"/>
        <v>18</v>
      </c>
      <c r="N20" s="59"/>
      <c r="O20" s="60"/>
      <c r="P20" s="186"/>
      <c r="Q20" s="88">
        <f t="shared" si="4"/>
        <v>18</v>
      </c>
      <c r="R20" s="59"/>
      <c r="S20" s="60"/>
      <c r="T20" s="186"/>
      <c r="U20" s="88">
        <f t="shared" si="5"/>
        <v>18</v>
      </c>
      <c r="V20" s="59">
        <v>15.51</v>
      </c>
      <c r="W20" s="60">
        <v>50</v>
      </c>
      <c r="X20" s="186"/>
      <c r="Y20" s="88">
        <f t="shared" si="6"/>
        <v>18</v>
      </c>
      <c r="Z20" s="59">
        <v>16.47</v>
      </c>
      <c r="AA20" s="60">
        <v>95</v>
      </c>
      <c r="AB20" s="186"/>
      <c r="AC20" s="88">
        <f t="shared" si="7"/>
        <v>18</v>
      </c>
      <c r="AD20" s="59">
        <v>21.04</v>
      </c>
      <c r="AE20" s="60">
        <v>236</v>
      </c>
      <c r="AF20" s="186"/>
      <c r="AG20" s="88">
        <f t="shared" si="8"/>
        <v>18</v>
      </c>
      <c r="AH20" s="59"/>
      <c r="AI20" s="60"/>
      <c r="AJ20" s="186"/>
      <c r="AK20" s="88">
        <f t="shared" si="9"/>
        <v>18</v>
      </c>
      <c r="AL20" s="59">
        <v>42.77</v>
      </c>
      <c r="AM20" s="60">
        <v>120</v>
      </c>
      <c r="AN20" s="186"/>
      <c r="AO20" s="88">
        <f t="shared" si="10"/>
        <v>18</v>
      </c>
      <c r="AP20" s="59">
        <v>10.1</v>
      </c>
      <c r="AQ20" s="60">
        <v>306</v>
      </c>
      <c r="AR20" s="186"/>
      <c r="AS20" s="88">
        <f t="shared" si="11"/>
        <v>18</v>
      </c>
      <c r="AT20" s="59"/>
      <c r="AU20" s="60"/>
      <c r="AV20" s="186"/>
      <c r="AW20" s="73"/>
    </row>
    <row r="21" spans="1:49" s="54" customFormat="1" ht="11.25" x14ac:dyDescent="0.2">
      <c r="A21" s="86">
        <f t="shared" si="0"/>
        <v>19</v>
      </c>
      <c r="B21" s="59"/>
      <c r="C21" s="60"/>
      <c r="D21" s="186"/>
      <c r="E21" s="88">
        <f t="shared" si="1"/>
        <v>19</v>
      </c>
      <c r="F21" s="59">
        <v>15.93</v>
      </c>
      <c r="G21" s="60">
        <v>51</v>
      </c>
      <c r="H21" s="186"/>
      <c r="I21" s="88">
        <f t="shared" si="2"/>
        <v>19</v>
      </c>
      <c r="J21" s="59">
        <v>13.7</v>
      </c>
      <c r="K21" s="60">
        <v>5</v>
      </c>
      <c r="L21" s="186"/>
      <c r="M21" s="88">
        <f t="shared" si="3"/>
        <v>19</v>
      </c>
      <c r="N21" s="59">
        <v>48.54</v>
      </c>
      <c r="O21" s="60">
        <v>485</v>
      </c>
      <c r="P21" s="186"/>
      <c r="Q21" s="88">
        <f t="shared" si="4"/>
        <v>19</v>
      </c>
      <c r="R21" s="59">
        <v>28.48</v>
      </c>
      <c r="S21" s="60">
        <v>463</v>
      </c>
      <c r="T21" s="186"/>
      <c r="U21" s="88">
        <f t="shared" si="5"/>
        <v>19</v>
      </c>
      <c r="V21" s="59">
        <v>28.26</v>
      </c>
      <c r="W21" s="60">
        <v>190</v>
      </c>
      <c r="X21" s="186"/>
      <c r="Y21" s="88">
        <f t="shared" si="6"/>
        <v>19</v>
      </c>
      <c r="Z21" s="59">
        <v>43.76</v>
      </c>
      <c r="AA21" s="60">
        <v>230</v>
      </c>
      <c r="AB21" s="186"/>
      <c r="AC21" s="88">
        <f t="shared" si="7"/>
        <v>19</v>
      </c>
      <c r="AD21" s="59">
        <v>17.079999999999998</v>
      </c>
      <c r="AE21" s="60">
        <v>360</v>
      </c>
      <c r="AF21" s="186"/>
      <c r="AG21" s="88">
        <f t="shared" si="8"/>
        <v>19</v>
      </c>
      <c r="AH21" s="59"/>
      <c r="AI21" s="60"/>
      <c r="AJ21" s="186"/>
      <c r="AK21" s="88">
        <f t="shared" si="9"/>
        <v>19</v>
      </c>
      <c r="AL21" s="59">
        <v>28.33</v>
      </c>
      <c r="AM21" s="60">
        <v>25</v>
      </c>
      <c r="AN21" s="186"/>
      <c r="AO21" s="88">
        <f t="shared" si="10"/>
        <v>19</v>
      </c>
      <c r="AP21" s="59"/>
      <c r="AQ21" s="60"/>
      <c r="AR21" s="186"/>
      <c r="AS21" s="88">
        <f t="shared" si="11"/>
        <v>19</v>
      </c>
      <c r="AT21" s="59"/>
      <c r="AU21" s="60"/>
      <c r="AV21" s="186"/>
      <c r="AW21" s="73"/>
    </row>
    <row r="22" spans="1:49" s="54" customFormat="1" ht="11.25" x14ac:dyDescent="0.2">
      <c r="A22" s="86">
        <f t="shared" si="0"/>
        <v>20</v>
      </c>
      <c r="B22" s="59"/>
      <c r="C22" s="60"/>
      <c r="D22" s="186">
        <v>0.125</v>
      </c>
      <c r="E22" s="88">
        <f t="shared" si="1"/>
        <v>20</v>
      </c>
      <c r="F22" s="59"/>
      <c r="G22" s="60"/>
      <c r="H22" s="186"/>
      <c r="I22" s="88">
        <f t="shared" si="2"/>
        <v>20</v>
      </c>
      <c r="J22" s="59">
        <v>15.89</v>
      </c>
      <c r="K22" s="60">
        <v>19</v>
      </c>
      <c r="L22" s="186"/>
      <c r="M22" s="88">
        <f t="shared" si="3"/>
        <v>20</v>
      </c>
      <c r="N22" s="59">
        <v>52.97</v>
      </c>
      <c r="O22" s="60">
        <v>650</v>
      </c>
      <c r="P22" s="186"/>
      <c r="Q22" s="88">
        <f t="shared" si="4"/>
        <v>20</v>
      </c>
      <c r="R22" s="59">
        <v>14.16</v>
      </c>
      <c r="S22" s="60">
        <v>5</v>
      </c>
      <c r="T22" s="186"/>
      <c r="U22" s="88">
        <f t="shared" si="5"/>
        <v>20</v>
      </c>
      <c r="V22" s="59">
        <v>60.12</v>
      </c>
      <c r="W22" s="60">
        <v>746</v>
      </c>
      <c r="X22" s="186"/>
      <c r="Y22" s="88">
        <f t="shared" si="6"/>
        <v>20</v>
      </c>
      <c r="Z22" s="59">
        <v>26.53</v>
      </c>
      <c r="AA22" s="60">
        <v>525</v>
      </c>
      <c r="AB22" s="186"/>
      <c r="AC22" s="88">
        <f t="shared" si="7"/>
        <v>20</v>
      </c>
      <c r="AD22" s="59">
        <v>7.25</v>
      </c>
      <c r="AE22" s="60">
        <v>18</v>
      </c>
      <c r="AF22" s="186"/>
      <c r="AG22" s="88">
        <f t="shared" si="8"/>
        <v>20</v>
      </c>
      <c r="AH22" s="59">
        <v>24.68</v>
      </c>
      <c r="AI22" s="60">
        <v>110</v>
      </c>
      <c r="AJ22" s="186"/>
      <c r="AK22" s="88">
        <f t="shared" si="9"/>
        <v>20</v>
      </c>
      <c r="AL22" s="59">
        <v>12.67</v>
      </c>
      <c r="AM22" s="60">
        <v>40</v>
      </c>
      <c r="AN22" s="186"/>
      <c r="AO22" s="88">
        <f t="shared" si="10"/>
        <v>20</v>
      </c>
      <c r="AP22" s="59">
        <v>10.1</v>
      </c>
      <c r="AQ22" s="60">
        <v>306</v>
      </c>
      <c r="AR22" s="186"/>
      <c r="AS22" s="88">
        <f t="shared" si="11"/>
        <v>20</v>
      </c>
      <c r="AT22" s="59"/>
      <c r="AU22" s="60"/>
      <c r="AV22" s="186">
        <v>2.0833333333333332E-2</v>
      </c>
      <c r="AW22" s="73"/>
    </row>
    <row r="23" spans="1:49" s="54" customFormat="1" ht="11.25" x14ac:dyDescent="0.2">
      <c r="A23" s="86">
        <f t="shared" si="0"/>
        <v>21</v>
      </c>
      <c r="B23" s="59"/>
      <c r="C23" s="60"/>
      <c r="D23" s="186"/>
      <c r="E23" s="88">
        <f t="shared" si="1"/>
        <v>21</v>
      </c>
      <c r="F23" s="59"/>
      <c r="G23" s="60"/>
      <c r="H23" s="186"/>
      <c r="I23" s="88">
        <f t="shared" si="2"/>
        <v>21</v>
      </c>
      <c r="J23" s="59">
        <v>89.7</v>
      </c>
      <c r="K23" s="60">
        <v>730</v>
      </c>
      <c r="L23" s="186"/>
      <c r="M23" s="88">
        <f t="shared" si="3"/>
        <v>21</v>
      </c>
      <c r="N23" s="59">
        <v>17.059999999999999</v>
      </c>
      <c r="O23" s="60">
        <v>375</v>
      </c>
      <c r="P23" s="186"/>
      <c r="Q23" s="88">
        <f t="shared" si="4"/>
        <v>21</v>
      </c>
      <c r="R23" s="59">
        <v>53.53</v>
      </c>
      <c r="S23" s="60">
        <v>959</v>
      </c>
      <c r="T23" s="186"/>
      <c r="U23" s="88">
        <f t="shared" si="5"/>
        <v>21</v>
      </c>
      <c r="V23" s="59">
        <v>24.28</v>
      </c>
      <c r="W23" s="60">
        <v>90</v>
      </c>
      <c r="X23" s="186"/>
      <c r="Y23" s="88">
        <f t="shared" si="6"/>
        <v>21</v>
      </c>
      <c r="Z23" s="59">
        <v>12.71</v>
      </c>
      <c r="AA23" s="60">
        <v>35</v>
      </c>
      <c r="AB23" s="186"/>
      <c r="AC23" s="88">
        <f t="shared" si="7"/>
        <v>21</v>
      </c>
      <c r="AD23" s="59">
        <v>11.93</v>
      </c>
      <c r="AE23" s="60">
        <v>15</v>
      </c>
      <c r="AF23" s="186"/>
      <c r="AG23" s="88">
        <f t="shared" si="8"/>
        <v>21</v>
      </c>
      <c r="AH23" s="59">
        <v>20.100000000000001</v>
      </c>
      <c r="AI23" s="60">
        <v>430</v>
      </c>
      <c r="AJ23" s="186"/>
      <c r="AK23" s="88">
        <f t="shared" si="9"/>
        <v>21</v>
      </c>
      <c r="AL23" s="59">
        <v>16.86</v>
      </c>
      <c r="AM23" s="60">
        <v>20</v>
      </c>
      <c r="AN23" s="186"/>
      <c r="AO23" s="88">
        <f t="shared" si="10"/>
        <v>21</v>
      </c>
      <c r="AP23" s="59"/>
      <c r="AQ23" s="60"/>
      <c r="AR23" s="186"/>
      <c r="AS23" s="88">
        <f t="shared" si="11"/>
        <v>21</v>
      </c>
      <c r="AT23" s="59"/>
      <c r="AU23" s="60"/>
      <c r="AV23" s="186"/>
      <c r="AW23" s="73"/>
    </row>
    <row r="24" spans="1:49" s="54" customFormat="1" ht="11.25" x14ac:dyDescent="0.2">
      <c r="A24" s="86">
        <f t="shared" si="0"/>
        <v>22</v>
      </c>
      <c r="B24" s="59">
        <v>11.65</v>
      </c>
      <c r="C24" s="60">
        <v>70</v>
      </c>
      <c r="D24" s="186"/>
      <c r="E24" s="88">
        <f t="shared" si="1"/>
        <v>22</v>
      </c>
      <c r="F24" s="59"/>
      <c r="G24" s="60"/>
      <c r="H24" s="186">
        <v>5.2083333333333336E-2</v>
      </c>
      <c r="I24" s="88">
        <f t="shared" si="2"/>
        <v>22</v>
      </c>
      <c r="J24" s="59">
        <v>58.83</v>
      </c>
      <c r="K24" s="60">
        <v>577</v>
      </c>
      <c r="L24" s="186"/>
      <c r="M24" s="88">
        <f t="shared" si="3"/>
        <v>22</v>
      </c>
      <c r="N24" s="59"/>
      <c r="O24" s="60"/>
      <c r="P24" s="186">
        <v>2.0833333333333332E-2</v>
      </c>
      <c r="Q24" s="88">
        <f t="shared" si="4"/>
        <v>22</v>
      </c>
      <c r="T24" s="186"/>
      <c r="U24" s="88">
        <f t="shared" si="5"/>
        <v>22</v>
      </c>
      <c r="V24" s="59">
        <v>54.98</v>
      </c>
      <c r="W24" s="60">
        <v>130</v>
      </c>
      <c r="X24" s="186"/>
      <c r="Y24" s="88">
        <f t="shared" si="6"/>
        <v>22</v>
      </c>
      <c r="Z24" s="59">
        <v>16.190000000000001</v>
      </c>
      <c r="AA24" s="60">
        <v>317</v>
      </c>
      <c r="AB24" s="186"/>
      <c r="AC24" s="88">
        <f t="shared" si="7"/>
        <v>22</v>
      </c>
      <c r="AD24" s="59">
        <v>73.569999999999993</v>
      </c>
      <c r="AE24" s="60">
        <v>810</v>
      </c>
      <c r="AF24" s="186"/>
      <c r="AG24" s="88">
        <f t="shared" si="8"/>
        <v>22</v>
      </c>
      <c r="AH24" s="59">
        <v>21.33</v>
      </c>
      <c r="AI24" s="60">
        <v>471</v>
      </c>
      <c r="AJ24" s="186"/>
      <c r="AK24" s="88">
        <f t="shared" si="9"/>
        <v>22</v>
      </c>
      <c r="AL24" s="59"/>
      <c r="AM24" s="60"/>
      <c r="AN24" s="186"/>
      <c r="AO24" s="88">
        <f t="shared" si="10"/>
        <v>22</v>
      </c>
      <c r="AP24" s="59">
        <v>12.94</v>
      </c>
      <c r="AQ24" s="60">
        <v>40</v>
      </c>
      <c r="AR24" s="186"/>
      <c r="AS24" s="88">
        <f t="shared" si="11"/>
        <v>22</v>
      </c>
      <c r="AT24" s="59"/>
      <c r="AU24" s="60"/>
      <c r="AV24" s="186"/>
      <c r="AW24" s="73"/>
    </row>
    <row r="25" spans="1:49" s="54" customFormat="1" ht="11.25" x14ac:dyDescent="0.2">
      <c r="A25" s="86">
        <f t="shared" si="0"/>
        <v>23</v>
      </c>
      <c r="B25" s="59">
        <v>4.5999999999999996</v>
      </c>
      <c r="C25" s="60">
        <v>0</v>
      </c>
      <c r="D25" s="186"/>
      <c r="E25" s="88">
        <f t="shared" si="1"/>
        <v>23</v>
      </c>
      <c r="F25" s="59">
        <v>10</v>
      </c>
      <c r="G25" s="60">
        <v>18</v>
      </c>
      <c r="H25" s="186"/>
      <c r="I25" s="88">
        <f t="shared" si="2"/>
        <v>23</v>
      </c>
      <c r="J25" s="59"/>
      <c r="K25" s="60"/>
      <c r="L25" s="186">
        <v>4.1666666666666664E-2</v>
      </c>
      <c r="M25" s="88">
        <f t="shared" si="3"/>
        <v>23</v>
      </c>
      <c r="N25" s="59">
        <v>15.37</v>
      </c>
      <c r="O25" s="60">
        <v>50</v>
      </c>
      <c r="P25" s="186"/>
      <c r="Q25" s="88">
        <f t="shared" si="4"/>
        <v>23</v>
      </c>
      <c r="R25" s="59">
        <v>37.92</v>
      </c>
      <c r="S25" s="60">
        <v>1226</v>
      </c>
      <c r="T25" s="186"/>
      <c r="U25" s="88">
        <f t="shared" si="5"/>
        <v>23</v>
      </c>
      <c r="V25" s="59">
        <v>47.03</v>
      </c>
      <c r="W25" s="60">
        <v>505</v>
      </c>
      <c r="X25" s="186"/>
      <c r="Y25" s="88">
        <f t="shared" si="6"/>
        <v>23</v>
      </c>
      <c r="Z25" s="59"/>
      <c r="AA25" s="60"/>
      <c r="AB25" s="186"/>
      <c r="AC25" s="88">
        <f t="shared" si="7"/>
        <v>23</v>
      </c>
      <c r="AD25" s="59">
        <v>25.2</v>
      </c>
      <c r="AE25" s="60">
        <v>115</v>
      </c>
      <c r="AF25" s="186"/>
      <c r="AG25" s="88">
        <f t="shared" si="8"/>
        <v>23</v>
      </c>
      <c r="AH25" s="59">
        <v>21.55</v>
      </c>
      <c r="AI25" s="60">
        <v>620</v>
      </c>
      <c r="AJ25" s="186"/>
      <c r="AK25" s="88">
        <f t="shared" si="9"/>
        <v>23</v>
      </c>
      <c r="AL25" s="59">
        <v>27.19</v>
      </c>
      <c r="AM25" s="60">
        <v>30</v>
      </c>
      <c r="AN25" s="186"/>
      <c r="AO25" s="88">
        <f t="shared" si="10"/>
        <v>23</v>
      </c>
      <c r="AP25" s="59"/>
      <c r="AQ25" s="60"/>
      <c r="AR25" s="186"/>
      <c r="AS25" s="88">
        <f t="shared" si="11"/>
        <v>23</v>
      </c>
      <c r="AT25" s="59">
        <v>17.02</v>
      </c>
      <c r="AU25" s="60">
        <v>6</v>
      </c>
      <c r="AV25" s="186"/>
      <c r="AW25" s="73"/>
    </row>
    <row r="26" spans="1:49" s="54" customFormat="1" ht="11.25" x14ac:dyDescent="0.2">
      <c r="A26" s="86">
        <f t="shared" si="0"/>
        <v>24</v>
      </c>
      <c r="B26" s="59">
        <v>33.26</v>
      </c>
      <c r="C26" s="60">
        <v>58</v>
      </c>
      <c r="D26" s="186">
        <v>2.0833333333333332E-2</v>
      </c>
      <c r="E26" s="88">
        <f t="shared" si="1"/>
        <v>24</v>
      </c>
      <c r="F26" s="59">
        <v>21.49</v>
      </c>
      <c r="G26" s="60">
        <v>150</v>
      </c>
      <c r="H26" s="186"/>
      <c r="I26" s="88">
        <f t="shared" si="2"/>
        <v>24</v>
      </c>
      <c r="J26" s="59"/>
      <c r="K26" s="60"/>
      <c r="L26" s="186"/>
      <c r="M26" s="88">
        <f t="shared" si="3"/>
        <v>24</v>
      </c>
      <c r="N26" s="59">
        <v>24.91</v>
      </c>
      <c r="O26" s="60">
        <v>212</v>
      </c>
      <c r="P26" s="186"/>
      <c r="Q26" s="88">
        <f t="shared" si="4"/>
        <v>24</v>
      </c>
      <c r="R26" s="59">
        <v>88.12</v>
      </c>
      <c r="S26" s="60">
        <v>893</v>
      </c>
      <c r="T26" s="186"/>
      <c r="U26" s="88">
        <f t="shared" si="5"/>
        <v>24</v>
      </c>
      <c r="V26" s="59">
        <v>58.15</v>
      </c>
      <c r="W26" s="60">
        <v>1033</v>
      </c>
      <c r="X26" s="186"/>
      <c r="Y26" s="88">
        <f t="shared" si="6"/>
        <v>24</v>
      </c>
      <c r="Z26" s="59">
        <v>15.49</v>
      </c>
      <c r="AA26" s="60">
        <v>30</v>
      </c>
      <c r="AB26" s="186"/>
      <c r="AC26" s="88">
        <f t="shared" si="7"/>
        <v>24</v>
      </c>
      <c r="AD26" s="59">
        <v>28.72</v>
      </c>
      <c r="AE26" s="60">
        <v>463</v>
      </c>
      <c r="AF26" s="186"/>
      <c r="AG26" s="88">
        <f t="shared" si="8"/>
        <v>24</v>
      </c>
      <c r="AH26" s="59"/>
      <c r="AI26" s="60"/>
      <c r="AJ26" s="186"/>
      <c r="AK26" s="88">
        <f t="shared" si="9"/>
        <v>24</v>
      </c>
      <c r="AL26" s="59">
        <v>30.38</v>
      </c>
      <c r="AM26" s="60">
        <v>40</v>
      </c>
      <c r="AN26" s="186"/>
      <c r="AO26" s="88">
        <f t="shared" si="10"/>
        <v>24</v>
      </c>
      <c r="AP26" s="59"/>
      <c r="AQ26" s="60"/>
      <c r="AR26" s="186"/>
      <c r="AS26" s="88">
        <f t="shared" si="11"/>
        <v>24</v>
      </c>
      <c r="AT26" s="59"/>
      <c r="AU26" s="60"/>
      <c r="AV26" s="186"/>
      <c r="AW26" s="73"/>
    </row>
    <row r="27" spans="1:49" s="54" customFormat="1" ht="11.25" x14ac:dyDescent="0.2">
      <c r="A27" s="86">
        <f t="shared" si="0"/>
        <v>25</v>
      </c>
      <c r="B27" s="59">
        <v>37.08</v>
      </c>
      <c r="C27" s="60">
        <v>411</v>
      </c>
      <c r="D27" s="186"/>
      <c r="E27" s="88">
        <f t="shared" si="1"/>
        <v>25</v>
      </c>
      <c r="F27" s="59">
        <v>15</v>
      </c>
      <c r="G27" s="60">
        <v>330</v>
      </c>
      <c r="H27" s="186"/>
      <c r="I27" s="88">
        <f t="shared" si="2"/>
        <v>25</v>
      </c>
      <c r="J27" s="59"/>
      <c r="K27" s="60"/>
      <c r="L27" s="186"/>
      <c r="M27" s="88">
        <f t="shared" si="3"/>
        <v>25</v>
      </c>
      <c r="N27" s="59">
        <v>47.77</v>
      </c>
      <c r="O27" s="60">
        <v>760</v>
      </c>
      <c r="P27" s="186"/>
      <c r="Q27" s="88">
        <f t="shared" si="4"/>
        <v>25</v>
      </c>
      <c r="R27" s="59"/>
      <c r="S27" s="60"/>
      <c r="T27" s="186"/>
      <c r="U27" s="88">
        <f t="shared" si="5"/>
        <v>25</v>
      </c>
      <c r="V27" s="59">
        <v>55.66</v>
      </c>
      <c r="W27" s="60">
        <v>810</v>
      </c>
      <c r="X27" s="186"/>
      <c r="Y27" s="88">
        <f t="shared" si="6"/>
        <v>25</v>
      </c>
      <c r="Z27" s="59"/>
      <c r="AA27" s="60"/>
      <c r="AB27" s="186"/>
      <c r="AC27" s="88">
        <f t="shared" si="7"/>
        <v>25</v>
      </c>
      <c r="AD27" s="59">
        <v>22.45</v>
      </c>
      <c r="AE27" s="60">
        <v>385</v>
      </c>
      <c r="AF27" s="186"/>
      <c r="AG27" s="88">
        <f t="shared" si="8"/>
        <v>25</v>
      </c>
      <c r="AH27" s="59">
        <v>24.06</v>
      </c>
      <c r="AI27" s="60">
        <v>25</v>
      </c>
      <c r="AJ27" s="186"/>
      <c r="AK27" s="88">
        <f t="shared" si="9"/>
        <v>25</v>
      </c>
      <c r="AL27" s="59">
        <v>12.03</v>
      </c>
      <c r="AM27" s="60">
        <v>10</v>
      </c>
      <c r="AN27" s="186"/>
      <c r="AO27" s="88">
        <f t="shared" si="10"/>
        <v>25</v>
      </c>
      <c r="AP27" s="59">
        <v>10.96</v>
      </c>
      <c r="AQ27" s="60">
        <v>313</v>
      </c>
      <c r="AR27" s="186"/>
      <c r="AS27" s="88">
        <f t="shared" si="11"/>
        <v>25</v>
      </c>
      <c r="AT27" s="59">
        <v>17.55</v>
      </c>
      <c r="AU27" s="60">
        <v>70</v>
      </c>
      <c r="AV27" s="186"/>
      <c r="AW27" s="73"/>
    </row>
    <row r="28" spans="1:49" s="54" customFormat="1" ht="11.25" x14ac:dyDescent="0.2">
      <c r="A28" s="86">
        <f t="shared" si="0"/>
        <v>26</v>
      </c>
      <c r="B28" s="59"/>
      <c r="C28" s="60"/>
      <c r="D28" s="186"/>
      <c r="E28" s="88">
        <f t="shared" si="1"/>
        <v>26</v>
      </c>
      <c r="F28" s="59">
        <v>6.45</v>
      </c>
      <c r="G28" s="60">
        <v>0</v>
      </c>
      <c r="H28" s="186"/>
      <c r="I28" s="88">
        <f t="shared" si="2"/>
        <v>26</v>
      </c>
      <c r="J28" s="59"/>
      <c r="K28" s="60"/>
      <c r="L28" s="186"/>
      <c r="M28" s="88">
        <f t="shared" si="3"/>
        <v>26</v>
      </c>
      <c r="N28" s="59"/>
      <c r="O28" s="60"/>
      <c r="P28" s="186"/>
      <c r="Q28" s="88">
        <f t="shared" si="4"/>
        <v>26</v>
      </c>
      <c r="R28" s="59"/>
      <c r="S28" s="60"/>
      <c r="T28" s="186"/>
      <c r="U28" s="88">
        <f t="shared" si="5"/>
        <v>26</v>
      </c>
      <c r="V28" s="59">
        <v>29.21</v>
      </c>
      <c r="W28" s="60">
        <v>190</v>
      </c>
      <c r="X28" s="186"/>
      <c r="Y28" s="88">
        <f t="shared" si="6"/>
        <v>26</v>
      </c>
      <c r="Z28" s="59">
        <v>54</v>
      </c>
      <c r="AA28" s="60">
        <v>590</v>
      </c>
      <c r="AB28" s="186"/>
      <c r="AC28" s="88">
        <f t="shared" si="7"/>
        <v>26</v>
      </c>
      <c r="AD28" s="59"/>
      <c r="AE28" s="60"/>
      <c r="AF28" s="186"/>
      <c r="AG28" s="88">
        <f t="shared" si="8"/>
        <v>26</v>
      </c>
      <c r="AH28" s="59">
        <v>64.67</v>
      </c>
      <c r="AI28" s="60">
        <v>1860</v>
      </c>
      <c r="AJ28" s="186"/>
      <c r="AK28" s="88">
        <f t="shared" si="9"/>
        <v>26</v>
      </c>
      <c r="AL28" s="59">
        <v>40.04</v>
      </c>
      <c r="AM28" s="60">
        <v>233</v>
      </c>
      <c r="AN28" s="186"/>
      <c r="AO28" s="88">
        <f t="shared" si="10"/>
        <v>26</v>
      </c>
      <c r="AP28" s="59">
        <v>9.82</v>
      </c>
      <c r="AQ28" s="60">
        <v>0</v>
      </c>
      <c r="AR28" s="186"/>
      <c r="AS28" s="88">
        <f t="shared" si="11"/>
        <v>26</v>
      </c>
      <c r="AT28" s="59">
        <v>54.41</v>
      </c>
      <c r="AU28" s="60">
        <v>545</v>
      </c>
      <c r="AV28" s="186"/>
      <c r="AW28" s="73"/>
    </row>
    <row r="29" spans="1:49" s="54" customFormat="1" ht="11.25" x14ac:dyDescent="0.2">
      <c r="A29" s="86">
        <f t="shared" si="0"/>
        <v>27</v>
      </c>
      <c r="B29" s="59">
        <v>10.71</v>
      </c>
      <c r="C29" s="60">
        <v>25</v>
      </c>
      <c r="D29" s="186"/>
      <c r="E29" s="88">
        <f t="shared" si="1"/>
        <v>27</v>
      </c>
      <c r="F29" s="59">
        <v>5.09</v>
      </c>
      <c r="G29" s="60">
        <v>0</v>
      </c>
      <c r="H29" s="186"/>
      <c r="I29" s="88">
        <f t="shared" si="2"/>
        <v>27</v>
      </c>
      <c r="J29" s="59">
        <v>13.72</v>
      </c>
      <c r="K29" s="60">
        <v>5</v>
      </c>
      <c r="L29" s="186"/>
      <c r="M29" s="88">
        <f t="shared" si="3"/>
        <v>27</v>
      </c>
      <c r="N29" s="59">
        <v>35.57</v>
      </c>
      <c r="O29" s="60">
        <v>20</v>
      </c>
      <c r="P29" s="186"/>
      <c r="Q29" s="88">
        <f t="shared" si="4"/>
        <v>27</v>
      </c>
      <c r="R29" s="59">
        <v>40.14</v>
      </c>
      <c r="S29" s="60">
        <v>31</v>
      </c>
      <c r="T29" s="186"/>
      <c r="U29" s="88">
        <f t="shared" si="5"/>
        <v>27</v>
      </c>
      <c r="V29" s="59"/>
      <c r="W29" s="60"/>
      <c r="X29" s="186"/>
      <c r="Y29" s="88">
        <f t="shared" si="6"/>
        <v>27</v>
      </c>
      <c r="Z29" s="59">
        <v>15.21</v>
      </c>
      <c r="AA29" s="60">
        <v>10</v>
      </c>
      <c r="AB29" s="186"/>
      <c r="AC29" s="88">
        <f t="shared" si="7"/>
        <v>27</v>
      </c>
      <c r="AD29" s="59">
        <v>16.12</v>
      </c>
      <c r="AE29" s="60">
        <v>43</v>
      </c>
      <c r="AF29" s="186"/>
      <c r="AG29" s="88">
        <f t="shared" si="8"/>
        <v>27</v>
      </c>
      <c r="AH29" s="59">
        <v>34.4</v>
      </c>
      <c r="AI29" s="60">
        <v>165</v>
      </c>
      <c r="AJ29" s="186"/>
      <c r="AK29" s="88">
        <f t="shared" si="9"/>
        <v>27</v>
      </c>
      <c r="AL29" s="59"/>
      <c r="AM29" s="60"/>
      <c r="AN29" s="186"/>
      <c r="AO29" s="88">
        <f t="shared" si="10"/>
        <v>27</v>
      </c>
      <c r="AP29" s="59"/>
      <c r="AQ29" s="60"/>
      <c r="AR29" s="186"/>
      <c r="AS29" s="88">
        <f t="shared" si="11"/>
        <v>27</v>
      </c>
      <c r="AT29" s="59"/>
      <c r="AU29" s="60"/>
      <c r="AV29" s="186"/>
      <c r="AW29" s="73"/>
    </row>
    <row r="30" spans="1:49" s="54" customFormat="1" ht="11.25" x14ac:dyDescent="0.2">
      <c r="A30" s="86">
        <f t="shared" si="0"/>
        <v>28</v>
      </c>
      <c r="B30" s="59">
        <v>4.5999999999999996</v>
      </c>
      <c r="C30" s="60">
        <v>0</v>
      </c>
      <c r="D30" s="186"/>
      <c r="E30" s="88">
        <f t="shared" si="1"/>
        <v>28</v>
      </c>
      <c r="F30" s="59">
        <v>33.39</v>
      </c>
      <c r="G30" s="60">
        <v>435</v>
      </c>
      <c r="H30" s="186"/>
      <c r="I30" s="88">
        <f t="shared" si="2"/>
        <v>28</v>
      </c>
      <c r="J30" s="59"/>
      <c r="K30" s="60"/>
      <c r="L30" s="186"/>
      <c r="M30" s="88">
        <f t="shared" si="3"/>
        <v>28</v>
      </c>
      <c r="N30" s="59"/>
      <c r="O30" s="60"/>
      <c r="P30" s="186"/>
      <c r="Q30" s="88">
        <f t="shared" si="4"/>
        <v>28</v>
      </c>
      <c r="R30" s="59"/>
      <c r="S30" s="60"/>
      <c r="T30" s="186"/>
      <c r="U30" s="88">
        <f t="shared" si="5"/>
        <v>28</v>
      </c>
      <c r="V30" s="59"/>
      <c r="W30" s="60"/>
      <c r="X30" s="186"/>
      <c r="Y30" s="88">
        <f t="shared" si="6"/>
        <v>28</v>
      </c>
      <c r="Z30" s="59">
        <v>19.850000000000001</v>
      </c>
      <c r="AA30" s="60">
        <v>35</v>
      </c>
      <c r="AB30" s="186"/>
      <c r="AC30" s="88">
        <f t="shared" si="7"/>
        <v>28</v>
      </c>
      <c r="AD30" s="59">
        <v>20.309999999999999</v>
      </c>
      <c r="AE30" s="60">
        <v>65</v>
      </c>
      <c r="AF30" s="186"/>
      <c r="AG30" s="88">
        <f t="shared" si="8"/>
        <v>28</v>
      </c>
      <c r="AH30" s="59">
        <v>18.25</v>
      </c>
      <c r="AI30" s="60">
        <v>75</v>
      </c>
      <c r="AJ30" s="186"/>
      <c r="AK30" s="88">
        <f t="shared" si="9"/>
        <v>28</v>
      </c>
      <c r="AL30" s="59">
        <v>25.64</v>
      </c>
      <c r="AM30" s="60">
        <v>30</v>
      </c>
      <c r="AN30" s="186"/>
      <c r="AO30" s="88">
        <f t="shared" si="10"/>
        <v>28</v>
      </c>
      <c r="AP30" s="59">
        <v>29.69</v>
      </c>
      <c r="AQ30" s="60">
        <v>647</v>
      </c>
      <c r="AR30" s="186"/>
      <c r="AS30" s="88">
        <f t="shared" si="11"/>
        <v>28</v>
      </c>
      <c r="AT30" s="59">
        <v>18.68</v>
      </c>
      <c r="AU30" s="60">
        <v>15</v>
      </c>
      <c r="AV30" s="186"/>
      <c r="AW30" s="73"/>
    </row>
    <row r="31" spans="1:49" s="54" customFormat="1" ht="11.25" x14ac:dyDescent="0.2">
      <c r="A31" s="86">
        <f t="shared" si="0"/>
        <v>29</v>
      </c>
      <c r="B31" s="59"/>
      <c r="C31" s="60"/>
      <c r="D31" s="186"/>
      <c r="E31" s="88"/>
      <c r="F31" s="59"/>
      <c r="G31" s="60"/>
      <c r="H31" s="186"/>
      <c r="I31" s="88">
        <f t="shared" si="2"/>
        <v>29</v>
      </c>
      <c r="J31" s="59">
        <v>45.31</v>
      </c>
      <c r="K31" s="60">
        <v>632</v>
      </c>
      <c r="L31" s="186"/>
      <c r="M31" s="88">
        <f t="shared" si="3"/>
        <v>29</v>
      </c>
      <c r="N31" s="59"/>
      <c r="O31" s="60"/>
      <c r="P31" s="186"/>
      <c r="Q31" s="88">
        <f t="shared" si="4"/>
        <v>29</v>
      </c>
      <c r="R31" s="59"/>
      <c r="S31" s="60"/>
      <c r="T31" s="186"/>
      <c r="U31" s="88">
        <f t="shared" si="5"/>
        <v>29</v>
      </c>
      <c r="V31" s="59"/>
      <c r="W31" s="60"/>
      <c r="X31" s="186"/>
      <c r="Y31" s="88">
        <f t="shared" si="6"/>
        <v>29</v>
      </c>
      <c r="Z31" s="59">
        <v>20.28</v>
      </c>
      <c r="AA31" s="60">
        <v>10</v>
      </c>
      <c r="AB31" s="186"/>
      <c r="AC31" s="88">
        <f t="shared" si="7"/>
        <v>29</v>
      </c>
      <c r="AD31" s="59">
        <v>95.27</v>
      </c>
      <c r="AE31" s="60">
        <v>1035</v>
      </c>
      <c r="AF31" s="186"/>
      <c r="AG31" s="88">
        <f t="shared" si="8"/>
        <v>29</v>
      </c>
      <c r="AH31" s="59"/>
      <c r="AI31" s="60"/>
      <c r="AJ31" s="186"/>
      <c r="AK31" s="88">
        <f t="shared" si="9"/>
        <v>29</v>
      </c>
      <c r="AL31" s="59"/>
      <c r="AM31" s="60"/>
      <c r="AN31" s="186"/>
      <c r="AO31" s="88">
        <f t="shared" si="10"/>
        <v>29</v>
      </c>
      <c r="AP31" s="59"/>
      <c r="AQ31" s="60"/>
      <c r="AR31" s="186"/>
      <c r="AS31" s="88">
        <f t="shared" si="11"/>
        <v>29</v>
      </c>
      <c r="AT31" s="59"/>
      <c r="AU31" s="60"/>
      <c r="AV31" s="186"/>
      <c r="AW31" s="73"/>
    </row>
    <row r="32" spans="1:49" s="54" customFormat="1" ht="11.25" x14ac:dyDescent="0.2">
      <c r="A32" s="86">
        <f t="shared" si="0"/>
        <v>30</v>
      </c>
      <c r="B32" s="59">
        <v>14.24</v>
      </c>
      <c r="C32" s="60">
        <v>90</v>
      </c>
      <c r="D32" s="186"/>
      <c r="E32" s="88"/>
      <c r="F32" s="59"/>
      <c r="G32" s="60"/>
      <c r="H32" s="186"/>
      <c r="I32" s="88">
        <f t="shared" si="2"/>
        <v>30</v>
      </c>
      <c r="J32" s="59"/>
      <c r="K32" s="60"/>
      <c r="L32" s="186"/>
      <c r="M32" s="88">
        <f t="shared" si="3"/>
        <v>30</v>
      </c>
      <c r="N32" s="59">
        <v>21.43</v>
      </c>
      <c r="O32" s="60">
        <v>10</v>
      </c>
      <c r="P32" s="186"/>
      <c r="Q32" s="88">
        <f t="shared" si="4"/>
        <v>30</v>
      </c>
      <c r="R32" s="59"/>
      <c r="S32" s="60"/>
      <c r="T32" s="186"/>
      <c r="U32" s="88">
        <f t="shared" si="5"/>
        <v>30</v>
      </c>
      <c r="V32" s="59">
        <v>39.33</v>
      </c>
      <c r="W32" s="60">
        <v>25</v>
      </c>
      <c r="X32" s="186"/>
      <c r="Y32" s="88">
        <f t="shared" si="6"/>
        <v>30</v>
      </c>
      <c r="Z32" s="59">
        <v>50.25</v>
      </c>
      <c r="AA32" s="60">
        <v>45</v>
      </c>
      <c r="AB32" s="186"/>
      <c r="AC32" s="88">
        <f t="shared" si="7"/>
        <v>30</v>
      </c>
      <c r="AD32" s="59">
        <v>38.46</v>
      </c>
      <c r="AE32" s="60">
        <v>383</v>
      </c>
      <c r="AF32" s="186"/>
      <c r="AG32" s="88">
        <f t="shared" si="8"/>
        <v>30</v>
      </c>
      <c r="AH32" s="59"/>
      <c r="AI32" s="60"/>
      <c r="AJ32" s="186"/>
      <c r="AK32" s="88">
        <f t="shared" si="9"/>
        <v>30</v>
      </c>
      <c r="AL32" s="59">
        <v>31</v>
      </c>
      <c r="AM32" s="60">
        <v>1100</v>
      </c>
      <c r="AN32" s="186"/>
      <c r="AO32" s="88">
        <f t="shared" si="10"/>
        <v>30</v>
      </c>
      <c r="AP32" s="59"/>
      <c r="AQ32" s="60"/>
      <c r="AR32" s="186"/>
      <c r="AS32" s="88">
        <f t="shared" si="11"/>
        <v>30</v>
      </c>
      <c r="AT32" s="59"/>
      <c r="AU32" s="60"/>
      <c r="AV32" s="186"/>
      <c r="AW32" s="73"/>
    </row>
    <row r="33" spans="1:49" s="54" customFormat="1" ht="11.25" x14ac:dyDescent="0.2">
      <c r="A33" s="87">
        <f t="shared" si="0"/>
        <v>31</v>
      </c>
      <c r="B33" s="68">
        <v>17.55</v>
      </c>
      <c r="C33" s="69">
        <v>314</v>
      </c>
      <c r="D33" s="187">
        <v>4.1666666666666664E-2</v>
      </c>
      <c r="E33" s="89"/>
      <c r="F33" s="68"/>
      <c r="G33" s="69"/>
      <c r="H33" s="187"/>
      <c r="I33" s="89">
        <f t="shared" si="2"/>
        <v>31</v>
      </c>
      <c r="J33" s="68">
        <v>27.35</v>
      </c>
      <c r="K33" s="69">
        <v>463</v>
      </c>
      <c r="L33" s="187"/>
      <c r="M33" s="89"/>
      <c r="N33" s="68"/>
      <c r="O33" s="69"/>
      <c r="P33" s="187"/>
      <c r="Q33" s="89">
        <f t="shared" si="4"/>
        <v>31</v>
      </c>
      <c r="R33" s="68"/>
      <c r="S33" s="69"/>
      <c r="T33" s="187"/>
      <c r="U33" s="89"/>
      <c r="V33" s="68"/>
      <c r="W33" s="69"/>
      <c r="X33" s="187"/>
      <c r="Y33" s="89">
        <f t="shared" si="6"/>
        <v>31</v>
      </c>
      <c r="Z33" s="68">
        <v>19.510000000000002</v>
      </c>
      <c r="AA33" s="69">
        <v>185</v>
      </c>
      <c r="AB33" s="187"/>
      <c r="AC33" s="89">
        <f t="shared" si="7"/>
        <v>31</v>
      </c>
      <c r="AD33" s="68">
        <v>17.739999999999998</v>
      </c>
      <c r="AE33" s="69">
        <v>91</v>
      </c>
      <c r="AF33" s="187"/>
      <c r="AG33" s="89"/>
      <c r="AH33" s="68"/>
      <c r="AI33" s="69"/>
      <c r="AJ33" s="187"/>
      <c r="AK33" s="89">
        <f t="shared" si="9"/>
        <v>31</v>
      </c>
      <c r="AL33" s="68">
        <v>43.4</v>
      </c>
      <c r="AM33" s="69">
        <v>1123</v>
      </c>
      <c r="AN33" s="187"/>
      <c r="AO33" s="89"/>
      <c r="AP33" s="68"/>
      <c r="AQ33" s="69"/>
      <c r="AR33" s="187"/>
      <c r="AS33" s="89">
        <f t="shared" si="11"/>
        <v>31</v>
      </c>
      <c r="AT33" s="68">
        <v>20.21</v>
      </c>
      <c r="AU33" s="69">
        <v>78</v>
      </c>
      <c r="AV33" s="187"/>
      <c r="AW33" s="73"/>
    </row>
    <row r="34" spans="1:49" s="54" customFormat="1" ht="11.25" x14ac:dyDescent="0.2">
      <c r="A34" s="50" t="s">
        <v>95</v>
      </c>
      <c r="B34" s="52">
        <f>SUM(B3:B33)</f>
        <v>300.04000000000002</v>
      </c>
      <c r="C34" s="53">
        <f>SUM(C3:C33)</f>
        <v>1875</v>
      </c>
      <c r="D34" s="92">
        <f>(SUM(D3:D33)/D39)*C39</f>
        <v>228</v>
      </c>
      <c r="E34" s="71"/>
      <c r="F34" s="52">
        <f>SUM(F3:F33)</f>
        <v>268.27000000000004</v>
      </c>
      <c r="G34" s="53">
        <f>SUM(G3:G33)</f>
        <v>2953</v>
      </c>
      <c r="H34" s="92">
        <f>(SUM(H3:H33)/D39)*C39</f>
        <v>156</v>
      </c>
      <c r="I34" s="71"/>
      <c r="J34" s="52">
        <f>SUM(J3:J33)</f>
        <v>538.64</v>
      </c>
      <c r="K34" s="53">
        <f>SUM(K3:K33)</f>
        <v>4793</v>
      </c>
      <c r="L34" s="92">
        <f>(SUM(L3:L33)/D39)*C39</f>
        <v>117.99999999999999</v>
      </c>
      <c r="M34" s="90"/>
      <c r="N34" s="52">
        <f>SUM(N3:N33)</f>
        <v>730.02</v>
      </c>
      <c r="O34" s="53">
        <f>SUM(O3:O33)</f>
        <v>7379</v>
      </c>
      <c r="P34" s="92">
        <f>(SUM(P3:P33)/D39)*C39</f>
        <v>12</v>
      </c>
      <c r="Q34" s="71"/>
      <c r="R34" s="52">
        <f>SUM(R3:R33)</f>
        <v>808.53999999999985</v>
      </c>
      <c r="S34" s="53">
        <f>SUM(S3:S33)</f>
        <v>8011</v>
      </c>
      <c r="T34" s="92">
        <f>(SUM(T3:T33)/D39)*C39</f>
        <v>0</v>
      </c>
      <c r="U34" s="71"/>
      <c r="V34" s="52">
        <f>SUM(V3:V33)</f>
        <v>875.8599999999999</v>
      </c>
      <c r="W34" s="53">
        <f>SUM(W3:W33)</f>
        <v>8133</v>
      </c>
      <c r="X34" s="92">
        <f>(SUM(X3:X33)/D39)*C39</f>
        <v>0</v>
      </c>
      <c r="Y34" s="71"/>
      <c r="Z34" s="52">
        <f>SUM(Z3:Z33)</f>
        <v>844.50000000000011</v>
      </c>
      <c r="AA34" s="53">
        <f>SUM(AA3:AA33)</f>
        <v>7887</v>
      </c>
      <c r="AB34" s="92">
        <f>(SUM(AB3:AB33)/D39)*C39</f>
        <v>24</v>
      </c>
      <c r="AC34" s="71"/>
      <c r="AD34" s="52">
        <f>SUM(AD3:AD33)</f>
        <v>803.25000000000011</v>
      </c>
      <c r="AE34" s="53">
        <f>SUM(AE3:AE33)</f>
        <v>9324</v>
      </c>
      <c r="AF34" s="92">
        <f>(SUM(AF3:AF33)/D39)*C39</f>
        <v>0</v>
      </c>
      <c r="AG34" s="71"/>
      <c r="AH34" s="52">
        <f>SUM(AH3:AH33)</f>
        <v>527.17000000000007</v>
      </c>
      <c r="AI34" s="53">
        <f>SUM(AI3:AI33)</f>
        <v>8114</v>
      </c>
      <c r="AJ34" s="92">
        <f>(SUM(AJ3:AJ33)/D39)*C39</f>
        <v>0</v>
      </c>
      <c r="AK34" s="71"/>
      <c r="AL34" s="52">
        <f>SUM(AL3:AL33)</f>
        <v>482.71</v>
      </c>
      <c r="AM34" s="53">
        <f>SUM(AM3:AM33)</f>
        <v>3316</v>
      </c>
      <c r="AN34" s="92">
        <f>(SUM(AN3:AN33)/D39)*C39</f>
        <v>48</v>
      </c>
      <c r="AO34" s="71"/>
      <c r="AP34" s="52">
        <f>SUM(AP3:AP33)</f>
        <v>268.74</v>
      </c>
      <c r="AQ34" s="53">
        <f>SUM(AQ3:AQ33)</f>
        <v>4455</v>
      </c>
      <c r="AR34" s="92">
        <f>(SUM(AR3:AR33)/D39)*C39</f>
        <v>0</v>
      </c>
      <c r="AS34" s="71"/>
      <c r="AT34" s="52">
        <f>SUM(AT3:AT33)</f>
        <v>300.59000000000003</v>
      </c>
      <c r="AU34" s="53">
        <f>SUM(AU3:AU33)</f>
        <v>1216</v>
      </c>
      <c r="AV34" s="92">
        <f>(SUM(AV3:AV33)/D39)*C39</f>
        <v>24</v>
      </c>
      <c r="AW34" s="73"/>
    </row>
    <row r="35" spans="1:49" s="57" customFormat="1" ht="11.25" x14ac:dyDescent="0.2">
      <c r="A35" s="51" t="s">
        <v>96</v>
      </c>
      <c r="B35" s="55">
        <f>B34</f>
        <v>300.04000000000002</v>
      </c>
      <c r="C35" s="56">
        <f>C34</f>
        <v>1875</v>
      </c>
      <c r="D35" s="93">
        <f>D34</f>
        <v>228</v>
      </c>
      <c r="E35" s="72"/>
      <c r="F35" s="55">
        <f>F34+B35</f>
        <v>568.31000000000006</v>
      </c>
      <c r="G35" s="56">
        <f>G34+C35</f>
        <v>4828</v>
      </c>
      <c r="H35" s="93">
        <f>H34+D35</f>
        <v>384</v>
      </c>
      <c r="I35" s="72"/>
      <c r="J35" s="55">
        <f>J34+F35</f>
        <v>1106.95</v>
      </c>
      <c r="K35" s="56">
        <f>K34+G35</f>
        <v>9621</v>
      </c>
      <c r="L35" s="93">
        <f>L34+H35</f>
        <v>502</v>
      </c>
      <c r="M35" s="72"/>
      <c r="N35" s="55">
        <f>N34+J35</f>
        <v>1836.97</v>
      </c>
      <c r="O35" s="56">
        <f>O34+K35</f>
        <v>17000</v>
      </c>
      <c r="P35" s="93">
        <f>P34+L35</f>
        <v>514</v>
      </c>
      <c r="Q35" s="72"/>
      <c r="R35" s="55">
        <f>R34+N35</f>
        <v>2645.5099999999998</v>
      </c>
      <c r="S35" s="56">
        <f>S34+O35</f>
        <v>25011</v>
      </c>
      <c r="T35" s="93">
        <f>T34+P35</f>
        <v>514</v>
      </c>
      <c r="U35" s="72"/>
      <c r="V35" s="55">
        <f>V34+R35</f>
        <v>3521.37</v>
      </c>
      <c r="W35" s="56">
        <f>W34+S35</f>
        <v>33144</v>
      </c>
      <c r="X35" s="93">
        <f>X34+T35</f>
        <v>514</v>
      </c>
      <c r="Y35" s="72"/>
      <c r="Z35" s="55">
        <f>Z34+V35</f>
        <v>4365.87</v>
      </c>
      <c r="AA35" s="56">
        <f>AA34+W35</f>
        <v>41031</v>
      </c>
      <c r="AB35" s="93">
        <f>AB34+X35</f>
        <v>538</v>
      </c>
      <c r="AC35" s="72"/>
      <c r="AD35" s="55">
        <f>AD34+Z35</f>
        <v>5169.12</v>
      </c>
      <c r="AE35" s="56">
        <f>AE34+AA35</f>
        <v>50355</v>
      </c>
      <c r="AF35" s="93">
        <f>AF34+AB35</f>
        <v>538</v>
      </c>
      <c r="AG35" s="72"/>
      <c r="AH35" s="55">
        <f>AH34+AD35</f>
        <v>5696.29</v>
      </c>
      <c r="AI35" s="56">
        <f>AI34+AE35</f>
        <v>58469</v>
      </c>
      <c r="AJ35" s="93">
        <f>AJ34+AF35</f>
        <v>538</v>
      </c>
      <c r="AK35" s="72"/>
      <c r="AL35" s="55">
        <f>AL34+AH35</f>
        <v>6179</v>
      </c>
      <c r="AM35" s="56">
        <f>AM34+AI35</f>
        <v>61785</v>
      </c>
      <c r="AN35" s="93">
        <f>AN34+AJ35</f>
        <v>586</v>
      </c>
      <c r="AO35" s="72"/>
      <c r="AP35" s="55">
        <f>AP34+AL35</f>
        <v>6447.74</v>
      </c>
      <c r="AQ35" s="56">
        <f>AQ34+AM35</f>
        <v>66240</v>
      </c>
      <c r="AR35" s="93">
        <f>AR34+AN35</f>
        <v>586</v>
      </c>
      <c r="AS35" s="72"/>
      <c r="AT35" s="55">
        <f>AT34+AP35</f>
        <v>6748.33</v>
      </c>
      <c r="AU35" s="56">
        <f>AU34+AQ35</f>
        <v>67456</v>
      </c>
      <c r="AV35" s="93">
        <f>AV34+AR35</f>
        <v>610</v>
      </c>
      <c r="AW35" s="106"/>
    </row>
    <row r="36" spans="1:49" s="54" customFormat="1" ht="11.25" x14ac:dyDescent="0.2">
      <c r="A36" s="54" t="s">
        <v>152</v>
      </c>
      <c r="B36" s="59">
        <f>MAX(B3:B33)</f>
        <v>48.34</v>
      </c>
      <c r="C36" s="60">
        <f>MAX(C3:C33)</f>
        <v>496</v>
      </c>
      <c r="D36" s="188">
        <f>MAX(D3:D33)</f>
        <v>0.125</v>
      </c>
      <c r="E36" s="73"/>
      <c r="F36" s="59">
        <f>MAX(F3:F33)</f>
        <v>33.39</v>
      </c>
      <c r="G36" s="60">
        <f>MAX(G3:G33)</f>
        <v>630</v>
      </c>
      <c r="H36" s="188">
        <f>MAX(H3:H33)</f>
        <v>5.2083333333333336E-2</v>
      </c>
      <c r="I36" s="73"/>
      <c r="J36" s="59">
        <f>MAX(J3:J33)</f>
        <v>89.7</v>
      </c>
      <c r="K36" s="60">
        <f>MAX(K3:K33)</f>
        <v>820</v>
      </c>
      <c r="L36" s="188">
        <f>MAX(L3:L33)</f>
        <v>4.8611111111111112E-2</v>
      </c>
      <c r="M36" s="73"/>
      <c r="N36" s="59">
        <f>MAX(N3:N33)</f>
        <v>71.540000000000006</v>
      </c>
      <c r="O36" s="60">
        <f>MAX(O3:O33)</f>
        <v>1006</v>
      </c>
      <c r="P36" s="188">
        <f>MAX(P3:P33)</f>
        <v>2.0833333333333332E-2</v>
      </c>
      <c r="Q36" s="73"/>
      <c r="R36" s="378">
        <f>MAX(R3:R33)</f>
        <v>131.44</v>
      </c>
      <c r="S36" s="60">
        <f>MAX(S3:S33)</f>
        <v>1226</v>
      </c>
      <c r="T36" s="188">
        <f>MAX(T3:T33)</f>
        <v>0</v>
      </c>
      <c r="U36" s="73"/>
      <c r="V36" s="59">
        <f>MAX(V3:V33)</f>
        <v>124</v>
      </c>
      <c r="W36" s="60">
        <f>MAX(W3:W33)</f>
        <v>1445</v>
      </c>
      <c r="X36" s="188">
        <f>MAX(X3:X33)</f>
        <v>0</v>
      </c>
      <c r="Y36" s="73"/>
      <c r="Z36" s="59">
        <f>MAX(Z3:Z33)</f>
        <v>115</v>
      </c>
      <c r="AA36" s="60">
        <f>MAX(AA3:AA33)</f>
        <v>1241</v>
      </c>
      <c r="AB36" s="188">
        <f>MAX(AB3:AB33)</f>
        <v>4.1666666666666664E-2</v>
      </c>
      <c r="AC36" s="73"/>
      <c r="AD36" s="59">
        <f>MAX(AD3:AD33)</f>
        <v>111.31</v>
      </c>
      <c r="AE36" s="60">
        <f>MAX(AE3:AE33)</f>
        <v>1450</v>
      </c>
      <c r="AF36" s="188">
        <f>MAX(AF3:AF33)</f>
        <v>0</v>
      </c>
      <c r="AG36" s="73"/>
      <c r="AH36" s="59">
        <f>MAX(AH3:AH33)</f>
        <v>64.67</v>
      </c>
      <c r="AI36" s="60">
        <f>MAX(AI3:AI33)</f>
        <v>1860</v>
      </c>
      <c r="AJ36" s="188">
        <f>MAX(AJ3:AJ33)</f>
        <v>0</v>
      </c>
      <c r="AK36" s="73"/>
      <c r="AL36" s="378">
        <f>MAX(AL3:AL33)</f>
        <v>100.03</v>
      </c>
      <c r="AM36" s="60">
        <f>MAX(AM3:AM33)</f>
        <v>1123</v>
      </c>
      <c r="AN36" s="188">
        <f>MAX(AN3:AN33)</f>
        <v>4.1666666666666664E-2</v>
      </c>
      <c r="AO36" s="73"/>
      <c r="AP36" s="59">
        <f>MAX(AP3:AP33)</f>
        <v>60.6</v>
      </c>
      <c r="AQ36" s="377">
        <f>MAX(AQ3:AQ33)</f>
        <v>1490</v>
      </c>
      <c r="AR36" s="188">
        <f>MAX(AR3:AR33)</f>
        <v>0</v>
      </c>
      <c r="AS36" s="73"/>
      <c r="AT36" s="59">
        <f>MAX(AT3:AT33)</f>
        <v>54.41</v>
      </c>
      <c r="AU36" s="60">
        <f>MAX(AU3:AU33)</f>
        <v>545</v>
      </c>
      <c r="AV36" s="188">
        <f>MAX(AV3:AV33)</f>
        <v>2.0833333333333332E-2</v>
      </c>
      <c r="AW36" s="73"/>
    </row>
    <row r="37" spans="1:49" s="54" customFormat="1" ht="11.25" x14ac:dyDescent="0.2">
      <c r="A37" s="54" t="s">
        <v>348</v>
      </c>
      <c r="B37" s="59">
        <f>IFERROR(AVERAGE(B3:B33),0)</f>
        <v>16.66888888888889</v>
      </c>
      <c r="C37" s="60">
        <f>IFERROR(AVERAGE(C3:C33),0)</f>
        <v>104.16666666666667</v>
      </c>
      <c r="D37" s="188">
        <f>IFERROR(AVERAGE(D3:D33),0)</f>
        <v>5.6547619047619048E-2</v>
      </c>
      <c r="E37" s="73"/>
      <c r="F37" s="59">
        <f>IFERROR(AVERAGE(F3:F33),0)</f>
        <v>15.78058823529412</v>
      </c>
      <c r="G37" s="60">
        <f>IFERROR(AVERAGE(G3:G33),0)</f>
        <v>173.70588235294119</v>
      </c>
      <c r="H37" s="188">
        <f>IFERROR(AVERAGE(H3:H33),0)</f>
        <v>3.8690476190476185E-2</v>
      </c>
      <c r="I37" s="73"/>
      <c r="J37" s="59">
        <f>IFERROR(AVERAGE(J3:J33),0)</f>
        <v>33.664999999999999</v>
      </c>
      <c r="K37" s="60">
        <f>IFERROR(AVERAGE(K3:K33),0)</f>
        <v>299.5625</v>
      </c>
      <c r="L37" s="188">
        <f>IFERROR(AVERAGE(L3:L33),0)</f>
        <v>4.0972222222222215E-2</v>
      </c>
      <c r="M37" s="73"/>
      <c r="N37" s="59">
        <f>IFERROR(AVERAGE(N3:N33),0)</f>
        <v>31.74</v>
      </c>
      <c r="O37" s="60">
        <f>IFERROR(AVERAGE(O3:O33),0)</f>
        <v>320.82608695652175</v>
      </c>
      <c r="P37" s="188">
        <f>IFERROR(AVERAGE(P3:P33),0)</f>
        <v>2.0833333333333332E-2</v>
      </c>
      <c r="Q37" s="73"/>
      <c r="R37" s="59">
        <f>IFERROR(AVERAGE(R3:R33),0)</f>
        <v>47.561176470588229</v>
      </c>
      <c r="S37" s="60">
        <f>IFERROR(AVERAGE(S3:S33),0)</f>
        <v>471.23529411764707</v>
      </c>
      <c r="T37" s="188">
        <f>IFERROR(AVERAGE(T3:T33),0)</f>
        <v>0</v>
      </c>
      <c r="U37" s="73"/>
      <c r="V37" s="59">
        <f>IFERROR(AVERAGE(V3:V33),0)</f>
        <v>39.811818181818175</v>
      </c>
      <c r="W37" s="60">
        <f>IFERROR(AVERAGE(W3:W33),0)</f>
        <v>369.68181818181819</v>
      </c>
      <c r="X37" s="188">
        <f>IFERROR(AVERAGE(X3:X33),0)</f>
        <v>0</v>
      </c>
      <c r="Y37" s="73"/>
      <c r="Z37" s="59">
        <f>IFERROR(AVERAGE(Z3:Z33),0)</f>
        <v>33.78</v>
      </c>
      <c r="AA37" s="60">
        <f>IFERROR(AVERAGE(AA3:AA33),0)</f>
        <v>315.48</v>
      </c>
      <c r="AB37" s="188">
        <f>IFERROR(AVERAGE(AB3:AB33),0)</f>
        <v>4.1666666666666664E-2</v>
      </c>
      <c r="AC37" s="73"/>
      <c r="AD37" s="59">
        <f>IFERROR(AVERAGE(AD3:AD33),0)</f>
        <v>28.687500000000004</v>
      </c>
      <c r="AE37" s="60">
        <f>IFERROR(AVERAGE(AE3:AE33),0)</f>
        <v>333</v>
      </c>
      <c r="AF37" s="188">
        <f>IFERROR(AVERAGE(AF3:AF33),0)</f>
        <v>0</v>
      </c>
      <c r="AG37" s="73"/>
      <c r="AH37" s="59">
        <f>IFERROR(AVERAGE(AH3:AH33),0)</f>
        <v>27.745789473684216</v>
      </c>
      <c r="AI37" s="60">
        <f>IFERROR(AVERAGE(AI3:AI33),0)</f>
        <v>427.05263157894734</v>
      </c>
      <c r="AJ37" s="188">
        <f>IFERROR(AVERAGE(AJ3:AJ33),0)</f>
        <v>0</v>
      </c>
      <c r="AK37" s="73"/>
      <c r="AL37" s="59">
        <f>IFERROR(AVERAGE(AL3:AL33),0)</f>
        <v>30.169374999999999</v>
      </c>
      <c r="AM37" s="60">
        <f>IFERROR(AVERAGE(AM3:AM33),0)</f>
        <v>207.25</v>
      </c>
      <c r="AN37" s="188">
        <f>IFERROR(AVERAGE(AN3:AN33),0)</f>
        <v>4.1666666666666664E-2</v>
      </c>
      <c r="AO37" s="73"/>
      <c r="AP37" s="59">
        <f>IFERROR(AVERAGE(AP3:AP33),0)</f>
        <v>19.195714285714285</v>
      </c>
      <c r="AQ37" s="60">
        <f>IFERROR(AVERAGE(AQ3:AQ33),0)</f>
        <v>318.21428571428572</v>
      </c>
      <c r="AR37" s="188">
        <f>IFERROR(AVERAGE(AR3:AR33),0)</f>
        <v>0</v>
      </c>
      <c r="AS37" s="73"/>
      <c r="AT37" s="59">
        <f>IFERROR(AVERAGE(AT3:AT33),0)</f>
        <v>20.039333333333335</v>
      </c>
      <c r="AU37" s="60">
        <f>IFERROR(AVERAGE(AU3:AU33),0)</f>
        <v>81.066666666666663</v>
      </c>
      <c r="AV37" s="188">
        <f>IFERROR(AVERAGE(AV3:AV33),0)</f>
        <v>2.0833333333333332E-2</v>
      </c>
      <c r="AW37" s="73"/>
    </row>
    <row r="38" spans="1:49" s="54" customFormat="1" ht="11.25" x14ac:dyDescent="0.2">
      <c r="A38" s="54" t="s">
        <v>241</v>
      </c>
      <c r="B38" s="59">
        <f>B34-'08'!B34</f>
        <v>-154.13999999999993</v>
      </c>
      <c r="C38" s="91">
        <f>C34-'08'!C34</f>
        <v>-3466</v>
      </c>
      <c r="D38" s="119">
        <f>IF(B34+D34=0,0,D34/(B34+D34))</f>
        <v>0.43178547079766688</v>
      </c>
      <c r="E38" s="73"/>
      <c r="F38" s="59">
        <f>F34-'08'!E34</f>
        <v>-157.31999999999994</v>
      </c>
      <c r="G38" s="91">
        <f>G34-'08'!F34</f>
        <v>2236</v>
      </c>
      <c r="H38" s="119">
        <f>IF(F34+H34=0,0,H34/(F34+H34))</f>
        <v>0.36769038583920616</v>
      </c>
      <c r="I38" s="73"/>
      <c r="J38" s="59">
        <f>J34-'08'!H34</f>
        <v>219.21999999999997</v>
      </c>
      <c r="K38" s="91">
        <f>K34-'08'!I34</f>
        <v>2756</v>
      </c>
      <c r="L38" s="119">
        <f>IF(J34+L34=0,0,L34/(J34+L34))</f>
        <v>0.17970272904483428</v>
      </c>
      <c r="M38" s="73"/>
      <c r="N38" s="59">
        <f>N34-'08'!K34</f>
        <v>-15.549999999999955</v>
      </c>
      <c r="O38" s="91">
        <f>O34-'08'!L34</f>
        <v>4016</v>
      </c>
      <c r="P38" s="119">
        <f>IF(N34+P34=0,0,P34/(N34+P34))</f>
        <v>1.6172070833670251E-2</v>
      </c>
      <c r="Q38" s="73"/>
      <c r="R38" s="59">
        <f>R34-'08'!N34</f>
        <v>-39.490000000000123</v>
      </c>
      <c r="S38" s="91">
        <f>S34-'08'!O34</f>
        <v>-2220</v>
      </c>
      <c r="T38" s="119">
        <f>IF(R34+T34=0,0,T34/(R34+T34))</f>
        <v>0</v>
      </c>
      <c r="U38" s="73"/>
      <c r="V38" s="59">
        <f>V34-'08'!Q34</f>
        <v>-138.46000000000026</v>
      </c>
      <c r="W38" s="91">
        <f>W34-'08'!R34</f>
        <v>-3076</v>
      </c>
      <c r="X38" s="119">
        <f>IF(V34+X34=0,0,X34/(V34+X34))</f>
        <v>0</v>
      </c>
      <c r="Y38" s="73"/>
      <c r="Z38" s="59">
        <f>Z34-'08'!T34</f>
        <v>27.169999999999959</v>
      </c>
      <c r="AA38" s="91">
        <f>AA34-'08'!U34</f>
        <v>-1649</v>
      </c>
      <c r="AB38" s="119">
        <f>IF(Z34+AB34=0,0,AB34/(Z34+AB34))</f>
        <v>2.7633851468048354E-2</v>
      </c>
      <c r="AC38" s="73"/>
      <c r="AD38" s="59">
        <f>AD34-'08'!W34</f>
        <v>124.86000000000001</v>
      </c>
      <c r="AE38" s="91">
        <f>AE34-'08'!X34</f>
        <v>1830</v>
      </c>
      <c r="AF38" s="119">
        <f>IF(AD34+AF34=0,0,AF34/(AD34+AF34))</f>
        <v>0</v>
      </c>
      <c r="AG38" s="73"/>
      <c r="AH38" s="59">
        <f>AH34-'08'!Z34</f>
        <v>-134.17999999999995</v>
      </c>
      <c r="AI38" s="91">
        <f>AI34-'08'!AA34</f>
        <v>1015</v>
      </c>
      <c r="AJ38" s="119">
        <f>IF(AH34+AJ34=0,0,AJ34/(AH34+AJ34))</f>
        <v>0</v>
      </c>
      <c r="AK38" s="73"/>
      <c r="AL38" s="59">
        <f>AL34-'08'!AC34</f>
        <v>-123.76000000000005</v>
      </c>
      <c r="AM38" s="91">
        <f>AM34-'08'!AD34</f>
        <v>-2388</v>
      </c>
      <c r="AN38" s="119">
        <f>IF(AL34+AN34=0,0,AN34/(AL34+AN34))</f>
        <v>9.0444875732509269E-2</v>
      </c>
      <c r="AO38" s="73"/>
      <c r="AP38" s="59">
        <f>AP34-'08'!AF34</f>
        <v>-329.23000000000013</v>
      </c>
      <c r="AQ38" s="91">
        <f>AQ34-'08'!AG34</f>
        <v>847</v>
      </c>
      <c r="AR38" s="119">
        <f>IF(AP34+AR34=0,0,AR34/(AP34+AR34))</f>
        <v>0</v>
      </c>
      <c r="AS38" s="73"/>
      <c r="AT38" s="59">
        <f>AT34-'08'!AI34</f>
        <v>-39.129999999999939</v>
      </c>
      <c r="AU38" s="91">
        <f>AU34-'08'!AJ34</f>
        <v>-2745</v>
      </c>
      <c r="AV38" s="119">
        <f>IF(AT34+AV34=0,0,AV34/(AT34+AV34))</f>
        <v>7.3939431282541046E-2</v>
      </c>
      <c r="AW38" s="73"/>
    </row>
    <row r="39" spans="1:49" s="1" customFormat="1" x14ac:dyDescent="0.2">
      <c r="A39" s="51" t="s">
        <v>158</v>
      </c>
      <c r="B39" s="177" t="s">
        <v>242</v>
      </c>
      <c r="C39" s="178">
        <v>24</v>
      </c>
      <c r="D39" s="189">
        <v>4.1666666666666664E-2</v>
      </c>
      <c r="E39" s="205"/>
      <c r="H39" s="206"/>
      <c r="I39" s="205"/>
      <c r="J39" s="55">
        <f>SUM(B34,F34,J34)</f>
        <v>1106.95</v>
      </c>
      <c r="K39" s="56">
        <f t="shared" ref="K39:L39" si="12">SUM(C34,G34,K34)</f>
        <v>9621</v>
      </c>
      <c r="L39" s="207">
        <f t="shared" si="12"/>
        <v>502</v>
      </c>
      <c r="M39" s="205"/>
      <c r="P39" s="206"/>
      <c r="Q39" s="205"/>
      <c r="T39" s="206"/>
      <c r="U39" s="205"/>
      <c r="V39" s="55">
        <f>SUM(N34,R34,V34)</f>
        <v>2414.42</v>
      </c>
      <c r="W39" s="56">
        <f>SUM(O34,S34,W34)</f>
        <v>23523</v>
      </c>
      <c r="X39" s="207">
        <f>SUM(P34,T34,X34)</f>
        <v>12</v>
      </c>
      <c r="Y39" s="205"/>
      <c r="AB39" s="206"/>
      <c r="AC39" s="205"/>
      <c r="AF39" s="206"/>
      <c r="AG39" s="205"/>
      <c r="AH39" s="55">
        <f>SUM(Z34,AD34,AH34)</f>
        <v>2174.92</v>
      </c>
      <c r="AI39" s="56">
        <f>SUM(AA34,AE34,AI34)</f>
        <v>25325</v>
      </c>
      <c r="AJ39" s="207">
        <f>SUM(AB34,AF34,AJ34)</f>
        <v>24</v>
      </c>
      <c r="AK39" s="205"/>
      <c r="AN39" s="206"/>
      <c r="AO39" s="205"/>
      <c r="AR39" s="206"/>
      <c r="AS39" s="205"/>
      <c r="AT39" s="55">
        <f>SUM(AL34,AP34,AT34)</f>
        <v>1052.04</v>
      </c>
      <c r="AU39" s="56">
        <f>SUM(AM34,AQ34,AU34)</f>
        <v>8987</v>
      </c>
      <c r="AV39" s="207">
        <f>SUM(AN34,AR34,AV34)</f>
        <v>72</v>
      </c>
      <c r="AW39" s="205"/>
    </row>
    <row r="40" spans="1:49" s="54" customFormat="1" ht="11.25" x14ac:dyDescent="0.2">
      <c r="A40" s="54" t="s">
        <v>347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22.038159041394337</v>
      </c>
      <c r="K40" s="60">
        <f>IFERROR(AVERAGE(C37,G37,K37),0)</f>
        <v>192.47834967320262</v>
      </c>
      <c r="L40" s="188">
        <f>IFERROR(AVERAGE(D37,H37,L37),0)</f>
        <v>4.5403439153439147E-2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39.704331550802131</v>
      </c>
      <c r="W40" s="60">
        <f>IFERROR(AVERAGE(O37,S37,W37),0)</f>
        <v>387.247733085329</v>
      </c>
      <c r="X40" s="188">
        <f>IFERROR(AVERAGE(P37,T37,X37),0)</f>
        <v>6.9444444444444441E-3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30.071096491228072</v>
      </c>
      <c r="AI40" s="60">
        <f>IFERROR(AVERAGE(AA37,AE37,AI37),0)</f>
        <v>358.51087719298243</v>
      </c>
      <c r="AJ40" s="188">
        <f>IFERROR(AVERAGE(AB37,AF37,AJ37),0)</f>
        <v>1.3888888888888888E-2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23.134807539682541</v>
      </c>
      <c r="AU40" s="60">
        <f>IFERROR(AVERAGE(AM37,AQ37,AU37),0)</f>
        <v>202.17698412698414</v>
      </c>
      <c r="AV40" s="188">
        <f>IFERROR(AVERAGE(AN37,AR37,AV37),0)</f>
        <v>2.0833333333333332E-2</v>
      </c>
      <c r="AW40" s="73"/>
    </row>
    <row r="41" spans="1:49" s="118" customFormat="1" ht="11.25" x14ac:dyDescent="0.2">
      <c r="A41" s="115" t="s">
        <v>225</v>
      </c>
      <c r="B41" s="109">
        <f>RANK(B34,(B34,F34,J34,N34,R34,V34,Z34,AD34,AH34,AL34,AP34,AT34))</f>
        <v>10</v>
      </c>
      <c r="C41" s="110">
        <f>RANK(C34,(C34,G34,K34,O34,S34,W34,AA34,AE34,AI34,AM34,AQ34,AU34))</f>
        <v>11</v>
      </c>
      <c r="D41" s="116">
        <f>RANK(D34,(D34,H34,L34,P34,T34,X34,AB34,AF34,AJ34,AN34,AR34,AV34))</f>
        <v>1</v>
      </c>
      <c r="E41" s="117"/>
      <c r="F41" s="109">
        <f>RANK(F34,(B34,F34,J34,N34,R34,V34,Z34,AD34,AH34,AL34,AP34,AT34))</f>
        <v>12</v>
      </c>
      <c r="G41" s="110">
        <f>RANK(G34,(C34,G34,K34,O34,S34,W34,AA34,AE34,AI34,AM34,AQ34,AU34))</f>
        <v>10</v>
      </c>
      <c r="H41" s="116">
        <f>RANK(H34,(D34,H34,L34,P34,T34,X34,AB34,AF34,AJ34,AN34,AR34,AV34))</f>
        <v>2</v>
      </c>
      <c r="I41" s="117"/>
      <c r="J41" s="109">
        <f>RANK(J34,(B34,F34,J34,N34,R34,V34,Z34,AD34,AH34,AL34,AP34,AT34))</f>
        <v>6</v>
      </c>
      <c r="K41" s="110">
        <f>RANK(K34,(C34,G34,K34,O34,S34,W34,AA34,AE34,AI34,AM34,AQ34,AU34))</f>
        <v>7</v>
      </c>
      <c r="L41" s="116">
        <f>RANK(L34,(D34,H34,L34,P34,T34,X34,AB34,AF34,AJ34,AN34,AR34,AV34))</f>
        <v>3</v>
      </c>
      <c r="M41" s="117"/>
      <c r="N41" s="109">
        <f>RANK(N34,(B34,F34,J34,N34,R34,V34,Z34,AD34,AH34,AL34,AP34,AT34))</f>
        <v>5</v>
      </c>
      <c r="O41" s="110">
        <f>RANK(O34,(C34,G34,K34,O34,S34,W34,AA34,AE34,AI34,AM34,AQ34,AU34))</f>
        <v>6</v>
      </c>
      <c r="P41" s="116">
        <f>RANK(P34,(D34,H34,L34,P34,T34,X34,AB34,AF34,AJ34,AN34,AR34,AV34))</f>
        <v>7</v>
      </c>
      <c r="Q41" s="117"/>
      <c r="R41" s="109">
        <f>RANK(R34,(B34,F34,J34,N34,R34,V34,Z34,AD34,AH34,AL34,AP34,AT34))</f>
        <v>3</v>
      </c>
      <c r="S41" s="110">
        <f>RANK(S34,(C34,G34,K34,O34,S34,W34,AA34,AE34,AI34,AM34,AQ34,AU34))</f>
        <v>4</v>
      </c>
      <c r="T41" s="116">
        <f>RANK(T34,(D34,H34,L34,P34,T34,X34,AB34,AF34,AJ34,AN34,AR34,AV34))</f>
        <v>8</v>
      </c>
      <c r="U41" s="117"/>
      <c r="V41" s="109">
        <f>RANK(V34,(B34,F34,J34,N34,R34,V34,Z34,AD34,AH34,AL34,AP34,AT34))</f>
        <v>1</v>
      </c>
      <c r="W41" s="110">
        <f>RANK(W34,(C34,G34,K34,O34,S34,W34,AA34,AE34,AI34,AM34,AQ34,AU34))</f>
        <v>2</v>
      </c>
      <c r="X41" s="116">
        <f>RANK(X34,(D34,H34,L34,P34,T34,X34,AB34,AF34,AJ34,AN34,AR34,AV34))</f>
        <v>8</v>
      </c>
      <c r="Y41" s="117"/>
      <c r="Z41" s="109">
        <f>RANK(Z34,(B34,F34,J34,N34,R34,V34,Z34,AD34,AH34,AL34,AP34,AT34))</f>
        <v>2</v>
      </c>
      <c r="AA41" s="110">
        <f>RANK(AA34,(C34,G34,K34,O34,S34,W34,AA34,AE34,AI34,AM34,AQ34,AU34))</f>
        <v>5</v>
      </c>
      <c r="AB41" s="116">
        <f>RANK(AB34,(D34,H34,L34,P34,T34,X34,AB34,AF34,AJ34,AN34,AR34,AV34))</f>
        <v>5</v>
      </c>
      <c r="AC41" s="117"/>
      <c r="AD41" s="109">
        <f>RANK(AD34,(B34,F34,J34,N34,R34,V34,Z34,AD34,AH34,AL34,AP34,AT34))</f>
        <v>4</v>
      </c>
      <c r="AE41" s="110">
        <f>RANK(AE34,(C34,G34,K34,O34,S34,W34,AA34,AE34,AI34,AM34,AQ34,AU34))</f>
        <v>1</v>
      </c>
      <c r="AF41" s="116">
        <f>RANK(AF34,(D34,H34,L34,P34,T34,X34,AB34,AF34,AJ34,AN34,AR34,AV34))</f>
        <v>8</v>
      </c>
      <c r="AG41" s="117"/>
      <c r="AH41" s="109">
        <f>RANK(AH34,(B34,F34,J34,N34,R34,V34,Z34,AD34,AH34,AL34,AP34,AT34))</f>
        <v>7</v>
      </c>
      <c r="AI41" s="110">
        <f>RANK(AI34,(C34,G34,K34,O34,S34,W34,AA34,AE34,AI34,AM34,AQ34,AU34))</f>
        <v>3</v>
      </c>
      <c r="AJ41" s="116">
        <f>RANK(AJ34,(D34,H34,L34,P34,T34,X34,AB34,AF34,AJ34,AN34,AR34,AV34))</f>
        <v>8</v>
      </c>
      <c r="AK41" s="117"/>
      <c r="AL41" s="109">
        <f>RANK(AL34,(B34,F34,J34,N34,R34,V34,Z34,AD34,AH34,AL34,AP34,AT34))</f>
        <v>8</v>
      </c>
      <c r="AM41" s="110">
        <f>RANK(AM34,(C34,G34,K34,O34,S34,W34,AA34,AE34,AI34,AM34,AQ34,AU34))</f>
        <v>9</v>
      </c>
      <c r="AN41" s="116">
        <f>RANK(AN34,(D34,H34,L34,P34,T34,X34,AB34,AF34,AJ34,AN34,AR34,AV34))</f>
        <v>4</v>
      </c>
      <c r="AO41" s="117"/>
      <c r="AP41" s="109">
        <f>RANK(AP34,(B34,F34,J34,N34,R34,V34,Z34,AD34,AH34,AL34,AP34,AT34))</f>
        <v>11</v>
      </c>
      <c r="AQ41" s="110">
        <f>RANK(AQ34,(C34,G34,K34,O34,S34,W34,AA34,AE34,AI34,AM34,AQ34,AU34))</f>
        <v>8</v>
      </c>
      <c r="AR41" s="116">
        <f>RANK(AR34,(D34,H34,L34,P34,T34,X34,AB34,AF34,AJ34,AN34,AR34,AV34))</f>
        <v>8</v>
      </c>
      <c r="AS41" s="117"/>
      <c r="AT41" s="109">
        <f>RANK(AT34,(B34,F34,J34,N34,R34,V34,Z34,AD34,AH34,AL34,AP34,AT34))</f>
        <v>9</v>
      </c>
      <c r="AU41" s="110">
        <f>RANK(AU34,(C34,G34,K34,O34,S34,W34,AA34,AE34,AI34,AM34,AQ34,AU34))</f>
        <v>12</v>
      </c>
      <c r="AV41" s="116">
        <f>RANK(AV34,(D34,H34,L34,P34,T34,X34,AB34,AF34,AJ34,AN34,AR34,AV34))</f>
        <v>5</v>
      </c>
      <c r="AW41" s="122"/>
    </row>
    <row r="42" spans="1:49" x14ac:dyDescent="0.2">
      <c r="A42" s="57" t="s">
        <v>218</v>
      </c>
      <c r="B42" s="100">
        <f>T1</f>
        <v>28.737098655776773</v>
      </c>
      <c r="C42" s="101">
        <f>AB1</f>
        <v>285.10348601962454</v>
      </c>
      <c r="D42" s="102"/>
      <c r="E42" s="214" t="s">
        <v>404</v>
      </c>
      <c r="F42" s="215">
        <f>SUM(J23:J33,N3:N33,R3:R33,V3:V33,Z3:Z33,AD3:AD33,AH3:AH23)</f>
        <v>4639.9900000000025</v>
      </c>
      <c r="G42" s="216">
        <f>SUM(K23:K33,O3:O32,S3:S33,W3:W32,AA3:AA33,AE3:AE33,AI3:AI23)</f>
        <v>48039</v>
      </c>
      <c r="H42" s="217"/>
      <c r="I42" s="217"/>
      <c r="J42" s="218">
        <f>IFERROR(F42/(F42+F43),0)</f>
        <v>0.6875760373307177</v>
      </c>
      <c r="K42" s="218">
        <f>IFERROR(G42/(G42+G43),0)</f>
        <v>0.71215310721062619</v>
      </c>
      <c r="L42" s="217"/>
      <c r="M42" s="309" t="s">
        <v>606</v>
      </c>
      <c r="N42" s="307">
        <v>15</v>
      </c>
      <c r="Y42" s="113"/>
      <c r="AK42" s="255" t="s">
        <v>484</v>
      </c>
      <c r="AL42" s="52">
        <f>MAX(B34,F34,J34,N34,R34,V34,Z34,AD34,AH34,AL34,AP34,AT34)</f>
        <v>875.8599999999999</v>
      </c>
      <c r="AM42" s="256">
        <f>MAX(C34,G34,K34,O34,S34,W34,AA34,AE34,AI34,AM34,AQ34,AU34)</f>
        <v>9324</v>
      </c>
      <c r="AN42" s="54" t="s">
        <v>351</v>
      </c>
      <c r="AO42" s="253" t="s">
        <v>349</v>
      </c>
      <c r="AP42" s="59">
        <f>R1-'08'!O1</f>
        <v>-51.149999999999977</v>
      </c>
      <c r="AQ42" s="91">
        <f>AF1-'08'!W1</f>
        <v>499</v>
      </c>
      <c r="AR42" s="54" t="s">
        <v>350</v>
      </c>
      <c r="AS42" s="252" t="s">
        <v>349</v>
      </c>
      <c r="AT42" s="59">
        <f>I1-'08'!G1</f>
        <v>-75.56</v>
      </c>
      <c r="AU42" s="91">
        <f>AN1-'08'!AE1</f>
        <v>110</v>
      </c>
      <c r="AV42" s="54" t="s">
        <v>351</v>
      </c>
      <c r="AW42" s="114"/>
    </row>
    <row r="43" spans="1:49" x14ac:dyDescent="0.2">
      <c r="A43" s="57" t="s">
        <v>219</v>
      </c>
      <c r="B43" s="100">
        <f>E1/365</f>
        <v>18.488575342465754</v>
      </c>
      <c r="C43" s="101">
        <f>AU1/365</f>
        <v>184.81095890410958</v>
      </c>
      <c r="D43" s="102"/>
      <c r="E43" s="210" t="s">
        <v>405</v>
      </c>
      <c r="F43" s="211">
        <f>E1-F42</f>
        <v>2108.3399999999974</v>
      </c>
      <c r="G43" s="212">
        <f>AU1-G42</f>
        <v>19417</v>
      </c>
      <c r="H43" s="213"/>
      <c r="I43" s="213"/>
      <c r="J43" s="219">
        <f>IFERROR(F43/(F42+F43),0)</f>
        <v>0.31242396266928224</v>
      </c>
      <c r="K43" s="219">
        <f>IFERROR(G43/(G42+G43),0)</f>
        <v>0.28784689278937381</v>
      </c>
      <c r="L43" s="213"/>
      <c r="M43" s="71" t="s">
        <v>607</v>
      </c>
      <c r="N43" s="308">
        <v>6</v>
      </c>
      <c r="Y43" s="114"/>
      <c r="AK43" s="257" t="s">
        <v>487</v>
      </c>
      <c r="AL43" s="228">
        <f>IF($B$1&lt;&gt;0,$AV$35/$B1,0)</f>
        <v>8.2899244801469901E-2</v>
      </c>
      <c r="AO43" s="254"/>
      <c r="AP43" s="59"/>
      <c r="AQ43" s="228"/>
      <c r="AR43" s="54"/>
      <c r="AS43" s="252" t="s">
        <v>349</v>
      </c>
      <c r="AT43" s="59">
        <f>B1-'08'!C1</f>
        <v>-150.01000000000204</v>
      </c>
      <c r="AU43" s="91">
        <f>AU1-'08'!AI1</f>
        <v>-2844</v>
      </c>
      <c r="AV43" s="54" t="s">
        <v>352</v>
      </c>
      <c r="AW43" s="114"/>
    </row>
  </sheetData>
  <sheetProtection password="CC70" sheet="1" objects="1" scenarios="1"/>
  <mergeCells count="19">
    <mergeCell ref="AP1:AQ1"/>
    <mergeCell ref="AR1:AS1"/>
    <mergeCell ref="AU1:AV1"/>
    <mergeCell ref="AD1:AE1"/>
    <mergeCell ref="T1:U1"/>
    <mergeCell ref="V1:Z1"/>
    <mergeCell ref="AF1:AG1"/>
    <mergeCell ref="AH1:AI1"/>
    <mergeCell ref="AJ1:AK1"/>
    <mergeCell ref="AN1:AO1"/>
    <mergeCell ref="AL1:AM1"/>
    <mergeCell ref="O1:Q1"/>
    <mergeCell ref="I1:J1"/>
    <mergeCell ref="AB1:AC1"/>
    <mergeCell ref="B1:C1"/>
    <mergeCell ref="E1:F1"/>
    <mergeCell ref="G1:H1"/>
    <mergeCell ref="K1:L1"/>
    <mergeCell ref="M1:N1"/>
  </mergeCells>
  <conditionalFormatting sqref="D3:D33 H3:H33 L3:L33 P3:P33 T3:T33 X3:X33 AB3:AB33 AF3:AF33 AJ3:AJ33 AN3:AN33 AR3:AR33 AV3:AV33">
    <cfRule type="cellIs" dxfId="853" priority="149" stopIfTrue="1" operator="lessThan">
      <formula>50</formula>
    </cfRule>
    <cfRule type="cellIs" dxfId="852" priority="150" stopIfTrue="1" operator="greaterThanOrEqual">
      <formula>100</formula>
    </cfRule>
    <cfRule type="cellIs" dxfId="851" priority="151" operator="greaterThanOrEqual">
      <formula>50</formula>
    </cfRule>
  </conditionalFormatting>
  <conditionalFormatting sqref="F34 J34 N34 R34 V34 Z34 AD34 AH34 AL34 AP34 AT34">
    <cfRule type="cellIs" dxfId="850" priority="397" operator="equal">
      <formula>$R$1</formula>
    </cfRule>
    <cfRule type="cellIs" dxfId="849" priority="398" operator="equal">
      <formula>$M$1</formula>
    </cfRule>
  </conditionalFormatting>
  <conditionalFormatting sqref="C34 G34 K34 O34 S34 W34 AA34 AE34 AI34 AM34 AQ34 AU34">
    <cfRule type="cellIs" dxfId="848" priority="629" operator="equal">
      <formula>$AF$1</formula>
    </cfRule>
    <cfRule type="cellIs" dxfId="847" priority="630" operator="equal">
      <formula>$AJ$1</formula>
    </cfRule>
  </conditionalFormatting>
  <conditionalFormatting sqref="B38:C38 F38:G38 J38:K38 N38:O38 R38:S38 V38:W38 Z38:AA38 AD38:AE38 AH38:AI38 AL38:AM38 AP38:AQ38 AT38:AU38">
    <cfRule type="cellIs" dxfId="846" priority="142" operator="lessThan">
      <formula>0</formula>
    </cfRule>
    <cfRule type="cellIs" dxfId="845" priority="143" operator="greaterThanOrEqual">
      <formula>0</formula>
    </cfRule>
  </conditionalFormatting>
  <conditionalFormatting sqref="C38 G38 K38 O38 S38 W38 AA38 AE38 AI38 AM38 AQ38 AU38">
    <cfRule type="cellIs" dxfId="844" priority="140" operator="lessThan">
      <formula>0</formula>
    </cfRule>
    <cfRule type="cellIs" dxfId="843" priority="141" operator="greaterThanOrEqual">
      <formula>0</formula>
    </cfRule>
  </conditionalFormatting>
  <conditionalFormatting sqref="B3:B33 F3:F33 J3:J33 N3:N33 R3:R33 V3:V33 Z3:Z33 AD3:AD33 AH3:AH33 AL3:AL33 AP3:AP33 AT3:AT33">
    <cfRule type="cellIs" dxfId="842" priority="164" stopIfTrue="1" operator="lessThan">
      <formula>50</formula>
    </cfRule>
    <cfRule type="cellIs" dxfId="841" priority="165" stopIfTrue="1" operator="greaterThanOrEqual">
      <formula>100</formula>
    </cfRule>
    <cfRule type="cellIs" dxfId="840" priority="166" operator="greaterThanOrEqual">
      <formula>50</formula>
    </cfRule>
  </conditionalFormatting>
  <conditionalFormatting sqref="C3:C33 G3:G33 K3:K33 O3:O33 S3:S33 W3:W33 AA3:AA33 AE3:AE33 AI3:AI33 AM3:AM33 AQ3:AQ33 AU3:AU33">
    <cfRule type="cellIs" dxfId="839" priority="161" stopIfTrue="1" operator="between">
      <formula>0</formula>
      <formula>749.99</formula>
    </cfRule>
    <cfRule type="cellIs" dxfId="838" priority="162" stopIfTrue="1" operator="greaterThanOrEqual">
      <formula>1500</formula>
    </cfRule>
    <cfRule type="cellIs" dxfId="837" priority="163" operator="greaterThanOrEqual">
      <formula>750</formula>
    </cfRule>
  </conditionalFormatting>
  <conditionalFormatting sqref="AT42:AU43">
    <cfRule type="cellIs" dxfId="836" priority="113" operator="lessThan">
      <formula>0</formula>
    </cfRule>
    <cfRule type="cellIs" dxfId="835" priority="114" operator="greaterThanOrEqual">
      <formula>0</formula>
    </cfRule>
  </conditionalFormatting>
  <conditionalFormatting sqref="AU42:AU43">
    <cfRule type="cellIs" dxfId="834" priority="111" operator="lessThan">
      <formula>0</formula>
    </cfRule>
    <cfRule type="cellIs" dxfId="833" priority="112" operator="greaterThanOrEqual">
      <formula>0</formula>
    </cfRule>
  </conditionalFormatting>
  <conditionalFormatting sqref="D38">
    <cfRule type="cellIs" dxfId="832" priority="110" operator="equal">
      <formula>MAX($D$38,$H$38,$L$38,$P$38,$T$38,$X$38,$AB$38,$AF$38,$AJ$38,$AN$38,$AR$38,$AV$38)</formula>
    </cfRule>
  </conditionalFormatting>
  <conditionalFormatting sqref="H38">
    <cfRule type="cellIs" dxfId="831" priority="109" operator="equal">
      <formula>MAX($D$38,$H$38,$L$38,$P$38,$T$38,$X$38,$AB$38,$AF$38,$AJ$38,$AN$38,$AR$38,$AV$38)</formula>
    </cfRule>
  </conditionalFormatting>
  <conditionalFormatting sqref="L38">
    <cfRule type="cellIs" dxfId="830" priority="108" operator="equal">
      <formula>MAX($D$38,$H$38,$L$38,$P$38,$T$38,$X$38,$AB$38,$AF$38,$AJ$38,$AN$38,$AR$38,$AV$38)</formula>
    </cfRule>
  </conditionalFormatting>
  <conditionalFormatting sqref="P38">
    <cfRule type="cellIs" dxfId="829" priority="107" operator="equal">
      <formula>MAX($D$38,$H$38,$L$38,$P$38,$T$38,$X$38,$AB$38,$AF$38,$AJ$38,$AN$38,$AR$38,$AV$38)</formula>
    </cfRule>
  </conditionalFormatting>
  <conditionalFormatting sqref="T38">
    <cfRule type="cellIs" dxfId="828" priority="106" operator="equal">
      <formula>MAX($D$38,$H$38,$L$38,$P$38,$T$38,$X$38,$AB$38,$AF$38,$AJ$38,$AN$38,$AR$38,$AV$38)</formula>
    </cfRule>
  </conditionalFormatting>
  <conditionalFormatting sqref="X38">
    <cfRule type="cellIs" dxfId="827" priority="105" operator="equal">
      <formula>MAX($D$38,$H$38,$L$38,$P$38,$T$38,$X$38,$AB$38,$AF$38,$AJ$38,$AN$38,$AR$38,$AV$38)</formula>
    </cfRule>
  </conditionalFormatting>
  <conditionalFormatting sqref="AB38">
    <cfRule type="cellIs" dxfId="826" priority="104" operator="equal">
      <formula>MAX($D$38,$H$38,$L$38,$P$38,$T$38,$X$38,$AB$38,$AF$38,$AJ$38,$AN$38,$AR$38,$AV$38)</formula>
    </cfRule>
  </conditionalFormatting>
  <conditionalFormatting sqref="AF38">
    <cfRule type="cellIs" dxfId="825" priority="103" operator="equal">
      <formula>MAX($D$38,$H$38,$L$38,$P$38,$T$38,$X$38,$AB$38,$AF$38,$AJ$38,$AN$38,$AR$38,$AV$38)</formula>
    </cfRule>
  </conditionalFormatting>
  <conditionalFormatting sqref="AJ38">
    <cfRule type="cellIs" dxfId="824" priority="102" operator="equal">
      <formula>MAX($D$38,$H$38,$L$38,$P$38,$T$38,$X$38,$AB$38,$AF$38,$AJ$38,$AN$38,$AR$38,$AV$38)</formula>
    </cfRule>
  </conditionalFormatting>
  <conditionalFormatting sqref="AN38">
    <cfRule type="cellIs" dxfId="823" priority="101" operator="equal">
      <formula>MAX($D$38,$H$38,$L$38,$P$38,$T$38,$X$38,$AB$38,$AF$38,$AJ$38,$AN$38,$AR$38,$AV$38)</formula>
    </cfRule>
  </conditionalFormatting>
  <conditionalFormatting sqref="AR38">
    <cfRule type="cellIs" dxfId="822" priority="100" operator="equal">
      <formula>MAX($D$38,$H$38,$L$38,$P$38,$T$38,$X$38,$AB$38,$AF$38,$AJ$38,$AN$38,$AR$38,$AV$38)</formula>
    </cfRule>
  </conditionalFormatting>
  <conditionalFormatting sqref="AV38">
    <cfRule type="cellIs" dxfId="821" priority="99" operator="equal">
      <formula>MAX($D$38,$H$38,$L$38,$P$38,$T$38,$X$38,$AB$38,$AF$38,$AJ$38,$AN$38,$AR$38,$AV$38)</formula>
    </cfRule>
  </conditionalFormatting>
  <conditionalFormatting sqref="D34">
    <cfRule type="cellIs" dxfId="820" priority="98" operator="equal">
      <formula>MAX($D$34,$H$34,$L$34,$P$34,$T$34,$X$34,$AB$34,$AF$34,$AJ$34,$AN$34,$AR$34,$AV$34)</formula>
    </cfRule>
  </conditionalFormatting>
  <conditionalFormatting sqref="D38">
    <cfRule type="cellIs" dxfId="819" priority="91" operator="equal">
      <formula>MAX($D$38,$H$38,$L$38,$P$38,$T$38,$X$38,$AB$38,$AF$38,$AJ$38,$AN$38,$AR$38,$AV$38)</formula>
    </cfRule>
  </conditionalFormatting>
  <conditionalFormatting sqref="D3:D33">
    <cfRule type="cellIs" dxfId="818" priority="88" stopIfTrue="1" operator="between">
      <formula>0</formula>
      <formula>0.0416550925925926</formula>
    </cfRule>
    <cfRule type="cellIs" dxfId="817" priority="89" stopIfTrue="1" operator="between">
      <formula>0.0416666666666667</formula>
      <formula>0.0833217592592593</formula>
    </cfRule>
    <cfRule type="cellIs" dxfId="816" priority="90" stopIfTrue="1" operator="between">
      <formula>0.0833333333333333</formula>
      <formula>4.16665509259259</formula>
    </cfRule>
  </conditionalFormatting>
  <conditionalFormatting sqref="H3:H33">
    <cfRule type="cellIs" dxfId="815" priority="85" stopIfTrue="1" operator="between">
      <formula>0</formula>
      <formula>0.0416550925925926</formula>
    </cfRule>
    <cfRule type="cellIs" dxfId="814" priority="86" stopIfTrue="1" operator="between">
      <formula>0.0416666666666667</formula>
      <formula>0.0833217592592593</formula>
    </cfRule>
    <cfRule type="cellIs" dxfId="813" priority="87" stopIfTrue="1" operator="between">
      <formula>0.0833333333333333</formula>
      <formula>4.16665509259259</formula>
    </cfRule>
  </conditionalFormatting>
  <conditionalFormatting sqref="L3:L33">
    <cfRule type="cellIs" dxfId="812" priority="82" stopIfTrue="1" operator="between">
      <formula>0</formula>
      <formula>0.0416550925925926</formula>
    </cfRule>
    <cfRule type="cellIs" dxfId="811" priority="83" stopIfTrue="1" operator="between">
      <formula>0.0416666666666667</formula>
      <formula>0.0833217592592593</formula>
    </cfRule>
    <cfRule type="cellIs" dxfId="810" priority="84" stopIfTrue="1" operator="between">
      <formula>0.0833333333333333</formula>
      <formula>4.16665509259259</formula>
    </cfRule>
  </conditionalFormatting>
  <conditionalFormatting sqref="P3:P33">
    <cfRule type="cellIs" dxfId="809" priority="79" stopIfTrue="1" operator="between">
      <formula>0</formula>
      <formula>0.0416550925925926</formula>
    </cfRule>
    <cfRule type="cellIs" dxfId="808" priority="80" stopIfTrue="1" operator="between">
      <formula>0.0416666666666667</formula>
      <formula>0.0833217592592593</formula>
    </cfRule>
    <cfRule type="cellIs" dxfId="807" priority="81" stopIfTrue="1" operator="between">
      <formula>0.0833333333333333</formula>
      <formula>4.16665509259259</formula>
    </cfRule>
  </conditionalFormatting>
  <conditionalFormatting sqref="T3:T33">
    <cfRule type="cellIs" dxfId="806" priority="76" stopIfTrue="1" operator="between">
      <formula>0</formula>
      <formula>0.0416550925925926</formula>
    </cfRule>
    <cfRule type="cellIs" dxfId="805" priority="77" stopIfTrue="1" operator="between">
      <formula>0.0416666666666667</formula>
      <formula>0.0833217592592593</formula>
    </cfRule>
    <cfRule type="cellIs" dxfId="804" priority="78" stopIfTrue="1" operator="between">
      <formula>0.0833333333333333</formula>
      <formula>4.16665509259259</formula>
    </cfRule>
  </conditionalFormatting>
  <conditionalFormatting sqref="X3:X33">
    <cfRule type="cellIs" dxfId="803" priority="73" stopIfTrue="1" operator="between">
      <formula>0</formula>
      <formula>0.0416550925925926</formula>
    </cfRule>
    <cfRule type="cellIs" dxfId="802" priority="74" stopIfTrue="1" operator="between">
      <formula>0.0416666666666667</formula>
      <formula>0.0833217592592593</formula>
    </cfRule>
    <cfRule type="cellIs" dxfId="801" priority="75" stopIfTrue="1" operator="between">
      <formula>0.0833333333333333</formula>
      <formula>4.16665509259259</formula>
    </cfRule>
  </conditionalFormatting>
  <conditionalFormatting sqref="AB3:AB33">
    <cfRule type="cellIs" dxfId="800" priority="70" stopIfTrue="1" operator="between">
      <formula>0</formula>
      <formula>0.0416550925925926</formula>
    </cfRule>
    <cfRule type="cellIs" dxfId="799" priority="71" stopIfTrue="1" operator="between">
      <formula>0.0416666666666667</formula>
      <formula>0.0833217592592593</formula>
    </cfRule>
    <cfRule type="cellIs" dxfId="798" priority="72" stopIfTrue="1" operator="between">
      <formula>0.0833333333333333</formula>
      <formula>4.16665509259259</formula>
    </cfRule>
  </conditionalFormatting>
  <conditionalFormatting sqref="AF3:AF33">
    <cfRule type="cellIs" dxfId="797" priority="67" stopIfTrue="1" operator="between">
      <formula>0</formula>
      <formula>0.0416550925925926</formula>
    </cfRule>
    <cfRule type="cellIs" dxfId="796" priority="68" stopIfTrue="1" operator="between">
      <formula>0.0416666666666667</formula>
      <formula>0.0833217592592593</formula>
    </cfRule>
    <cfRule type="cellIs" dxfId="795" priority="69" stopIfTrue="1" operator="between">
      <formula>0.0833333333333333</formula>
      <formula>4.16665509259259</formula>
    </cfRule>
  </conditionalFormatting>
  <conditionalFormatting sqref="AJ3:AJ33">
    <cfRule type="cellIs" dxfId="794" priority="64" stopIfTrue="1" operator="between">
      <formula>0</formula>
      <formula>0.0416550925925926</formula>
    </cfRule>
    <cfRule type="cellIs" dxfId="793" priority="65" stopIfTrue="1" operator="between">
      <formula>0.0416666666666667</formula>
      <formula>0.0833217592592593</formula>
    </cfRule>
    <cfRule type="cellIs" dxfId="792" priority="66" stopIfTrue="1" operator="between">
      <formula>0.0833333333333333</formula>
      <formula>4.16665509259259</formula>
    </cfRule>
  </conditionalFormatting>
  <conditionalFormatting sqref="AN3:AN33">
    <cfRule type="cellIs" dxfId="791" priority="61" stopIfTrue="1" operator="between">
      <formula>0</formula>
      <formula>0.0416550925925926</formula>
    </cfRule>
    <cfRule type="cellIs" dxfId="790" priority="62" stopIfTrue="1" operator="between">
      <formula>0.0416666666666667</formula>
      <formula>0.0833217592592593</formula>
    </cfRule>
    <cfRule type="cellIs" dxfId="789" priority="63" stopIfTrue="1" operator="between">
      <formula>0.0833333333333333</formula>
      <formula>4.16665509259259</formula>
    </cfRule>
  </conditionalFormatting>
  <conditionalFormatting sqref="AR3:AR33">
    <cfRule type="cellIs" dxfId="788" priority="58" stopIfTrue="1" operator="between">
      <formula>0</formula>
      <formula>0.0416550925925926</formula>
    </cfRule>
    <cfRule type="cellIs" dxfId="787" priority="59" stopIfTrue="1" operator="between">
      <formula>0.0416666666666667</formula>
      <formula>0.0833217592592593</formula>
    </cfRule>
    <cfRule type="cellIs" dxfId="786" priority="60" stopIfTrue="1" operator="between">
      <formula>0.0833333333333333</formula>
      <formula>4.16665509259259</formula>
    </cfRule>
  </conditionalFormatting>
  <conditionalFormatting sqref="AV3:AV33">
    <cfRule type="cellIs" dxfId="785" priority="55" stopIfTrue="1" operator="between">
      <formula>0</formula>
      <formula>0.0416550925925926</formula>
    </cfRule>
    <cfRule type="cellIs" dxfId="784" priority="56" stopIfTrue="1" operator="between">
      <formula>0.0416666666666667</formula>
      <formula>0.0833217592592593</formula>
    </cfRule>
    <cfRule type="cellIs" dxfId="783" priority="57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782" priority="42" operator="equal">
      <formula>MAX($D$36,$H$36,$L$36,$P$36,$T$36,$X$36,$AB$36,$AF$36,$AJ$36,$AN$36,$AR$36,$AV$36)</formula>
    </cfRule>
  </conditionalFormatting>
  <conditionalFormatting sqref="AP42:AQ42">
    <cfRule type="cellIs" dxfId="781" priority="40" operator="lessThan">
      <formula>0</formula>
    </cfRule>
    <cfRule type="cellIs" dxfId="780" priority="41" operator="greaterThanOrEqual">
      <formula>0</formula>
    </cfRule>
  </conditionalFormatting>
  <conditionalFormatting sqref="AQ42">
    <cfRule type="cellIs" dxfId="779" priority="38" operator="lessThan">
      <formula>0</formula>
    </cfRule>
    <cfRule type="cellIs" dxfId="778" priority="39" operator="greaterThanOrEqual">
      <formula>0</formula>
    </cfRule>
  </conditionalFormatting>
  <conditionalFormatting sqref="AP43">
    <cfRule type="cellIs" dxfId="777" priority="36" operator="lessThan">
      <formula>0</formula>
    </cfRule>
    <cfRule type="cellIs" dxfId="776" priority="37" operator="greaterThanOrEqual">
      <formula>0</formula>
    </cfRule>
  </conditionalFormatting>
  <conditionalFormatting sqref="B34">
    <cfRule type="cellIs" dxfId="775" priority="34" operator="equal">
      <formula>$O$1</formula>
    </cfRule>
    <cfRule type="cellIs" dxfId="774" priority="35" operator="equal">
      <formula>$K$1</formula>
    </cfRule>
  </conditionalFormatting>
  <conditionalFormatting sqref="AL42">
    <cfRule type="cellIs" dxfId="773" priority="23" stopIfTrue="1" operator="lessThan">
      <formula>1000</formula>
    </cfRule>
    <cfRule type="cellIs" dxfId="772" priority="24" stopIfTrue="1" operator="lessThan">
      <formula>1100</formula>
    </cfRule>
    <cfRule type="cellIs" dxfId="771" priority="25" stopIfTrue="1" operator="lessThan">
      <formula>9999</formula>
    </cfRule>
  </conditionalFormatting>
  <conditionalFormatting sqref="AM42">
    <cfRule type="cellIs" dxfId="770" priority="20" stopIfTrue="1" operator="lessThan">
      <formula>10000</formula>
    </cfRule>
    <cfRule type="cellIs" dxfId="769" priority="21" stopIfTrue="1" operator="lessThan">
      <formula>13000</formula>
    </cfRule>
    <cfRule type="cellIs" dxfId="768" priority="22" stopIfTrue="1" operator="lessThan">
      <formula>99999</formula>
    </cfRule>
  </conditionalFormatting>
  <conditionalFormatting sqref="AL43">
    <cfRule type="cellIs" dxfId="767" priority="14" stopIfTrue="1" operator="lessThan">
      <formula>0.05</formula>
    </cfRule>
    <cfRule type="cellIs" dxfId="766" priority="15" stopIfTrue="1" operator="lessThan">
      <formula>0.1</formula>
    </cfRule>
    <cfRule type="cellIs" dxfId="765" priority="16" stopIfTrue="1" operator="lessThanOrEqual">
      <formula>1</formula>
    </cfRule>
  </conditionalFormatting>
  <pageMargins left="0.7" right="0.7" top="0.78740157499999996" bottom="0.78740157499999996" header="0.3" footer="0.3"/>
  <ignoredErrors>
    <ignoredError sqref="F42:G42" formulaRange="1"/>
  </ignoredErrors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" operator="equal" id="{CF7A5660-3DC3-46EA-B8E3-3972EC571CA5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32" operator="equal" id="{6DBDC3B1-58A6-4CC2-A4A2-9D366AE48C72}">
            <xm:f>MAX('08'!$B$34,$B$34,'10'!$B$34,'11'!$B$34,'12'!$B$34)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53" operator="equal" id="{39798B48-3B8A-4A67-90FF-6B7B4B9411DB}">
            <xm:f>MAX('08'!$C$34,$C$34,'10'!$C$34,'11'!$C$34)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52" operator="equal" id="{27FAECB2-3B56-4F42-AC3E-5BE0B231B0A7}">
            <xm:f>MAX('08'!$F$34,$G$34,'10'!$G$34,'11'!$G$34)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51" operator="equal" id="{3AC1BA68-45AB-43BA-A9C0-DE4A2BFFC394}">
            <xm:f>MAX('08'!$I$34,$K$34,'10'!$K$34,'12'!$K$34)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50" operator="equal" id="{F78143C0-3DB0-4BBA-850C-EA7BDA1EC669}">
            <xm:f>MAX('08'!$L$34,$O$34,'10'!$O$34,'11'!$O$34)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49" operator="equal" id="{2DE49435-9B28-4BA4-A433-82C117480C00}">
            <xm:f>MAX('08'!$O$34,$S$34,'10'!$S$34,'11'!$S$34)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48" operator="equal" id="{B3076A51-B6D7-4B09-924C-A12C5E4DB678}">
            <xm:f>MAX('08'!$R$34,$W$34,'10'!$W$34,'11'!$W$34)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47" operator="equal" id="{4C4F6FE8-E43B-402E-A0C9-DA5D6B9AB3EC}">
            <xm:f>MAX('08'!$U$34,$AA$34,'10'!$AA$34,'11'!$AA$34)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46" operator="equal" id="{E6AC7E21-1992-4F3F-BACA-D761733AA36B}">
            <xm:f>MAX('08'!$X$34,$AE$34,'10'!$AE$34,'12'!$AE$34)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45" operator="equal" id="{E9D9129D-395A-4D8B-8B23-8634948ACD89}">
            <xm:f>MAX('08'!$AA$34,$AI$34,'10'!$AI$34,'11'!$AI$34)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44" operator="equal" id="{490ABB34-32AA-4AAC-8B74-4492DCD4D467}">
            <xm:f>MAX('08'!$AD$34,$AM$34,'10'!$AM$34,'11'!$AM$34)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43" operator="equal" id="{9921786D-F130-4251-AA98-B149C04B4607}">
            <xm:f>MAX('08'!$AG$34,$AQ$34,'10'!$AQ$34,'12'!$AQ$34)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631" operator="equal" id="{1F952E2B-38B6-467C-B12C-C0B2447C491D}">
            <xm:f>MAX('08'!$AJ$34,$AU$34,'10'!$AU$34,'11'!$AU$34)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31" operator="equal" id="{70CF0C2C-51DA-484C-A28C-9BBA31F471ED}">
            <xm:f>MAX('08'!$E$34,$F$34,'10'!$F$34,'11'!$F$34,'12'!$F$34)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30" operator="equal" id="{75A6D830-8F7C-4DBD-888F-3517C97A9433}">
            <xm:f>MAX('08'!$H$34,$J$34,'10'!$J$34,'11'!$J$34,'12'!$J$34)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29" operator="equal" id="{F9E92BDB-BBE6-455C-BFFC-7AF0ACB26FC6}">
            <xm:f>MAX('08'!$K$34,$N$34,'10'!$N$34,'11'!$N$34,'12'!$N$34)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28" operator="equal" id="{C174EE43-5FE7-4A44-B012-B935EC76D84C}">
            <xm:f>MAX('08'!$N$34,$R$34,'10'!$R$34,'11'!$R$34,'12'!$R$34)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27" operator="equal" id="{1F9BB232-3E53-46A6-9305-AD0C97341D10}">
            <xm:f>MAX('08'!$Q$34,$V$34,'10'!$V$34,'11'!$V$34,'12'!$V$34)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26" operator="equal" id="{911DE38E-1460-4446-BF86-A3C8B10EFDC9}">
            <xm:f>MAX('08'!$AJ$35,$AU$35,'10'!$AU$35,'11'!$AU$35,'12'!$AU$35)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12" operator="equal" id="{65CAC96B-1611-405C-800D-1A0640DB4C85}">
            <xm:f>MAX('08'!$C$1:$D$1,$B$1:$C$1,'10'!$B$1:$C$1,'11'!$B$1:$C$1,'12'!$B$1:$C$1)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11" operator="equal" id="{72808CE0-96CD-4774-8256-24A5CB39C42F}">
            <xm:f>MAX('08'!$T$34,$Z$34,'10'!$Z$34,'11'!$Z$34,'12'!$Z$34)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0" operator="equal" id="{C86DD42E-FA48-4A72-8B3D-AFB388BE9E60}">
            <xm:f>MAX('08'!$W$34,$AD$34,'10'!$AD$34,'11'!$AD$34,'12'!$AD$34)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9" operator="equal" id="{B562D7F2-3921-4ADD-BA19-AC7EF6C13CFD}">
            <xm:f>MAX('08'!$Z$34,$AH$34,'10'!$AH$34,'11'!$AH$34,'12'!$AH$34)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8" operator="equal" id="{D6234275-F3AA-4D98-ADE6-9CB9EEEC0811}">
            <xm:f>MAX('08'!$AC$34,$AL$34,'10'!$AL$34,'11'!$AL$34,'12'!$AL$34)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7" operator="equal" id="{3971AFBC-BD04-4EB3-BDDF-21198B348B7E}">
            <xm:f>MAX('08'!$AF$34,$AP$34,'10'!$AP$34,'11'!$AP$34,'12'!$AP$34)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6" operator="equal" id="{2F59EA77-FB8A-4808-A0C4-6F0E79614B7F}">
            <xm:f>MAX('08'!$AI$34,$AT$34,'10'!$AT$34,'11'!$AT$34,'12'!$AT$34)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4" operator="equal" id="{54FDA98F-16E6-401B-8495-4CFFBAD77BBD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1" operator="equal" id="{216B644C-52FA-4296-981B-63819039FDB1}">
            <xm:f>MAX('13'!$AR$1,'12'!$AR$1,'11'!$AR$1,'10'!$AR$1,$AR$1)</xm:f>
            <x14:dxf>
              <font>
                <b val="0"/>
                <i/>
              </font>
            </x14:dxf>
          </x14:cfRule>
          <xm:sqref>AR1:AS1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249977111117893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3" width="4.85546875" bestFit="1" customWidth="1"/>
    <col min="4" max="4" width="4.28515625" bestFit="1" customWidth="1"/>
    <col min="5" max="5" width="6.5703125" bestFit="1" customWidth="1"/>
    <col min="6" max="6" width="5.7109375" bestFit="1" customWidth="1"/>
    <col min="7" max="7" width="5.28515625" bestFit="1" customWidth="1"/>
    <col min="8" max="8" width="4.140625" bestFit="1" customWidth="1"/>
    <col min="9" max="9" width="3.5703125" bestFit="1" customWidth="1"/>
    <col min="10" max="10" width="6.28515625" bestFit="1" customWidth="1"/>
    <col min="11" max="11" width="5" bestFit="1" customWidth="1"/>
    <col min="12" max="12" width="5.42578125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7" bestFit="1" customWidth="1"/>
    <col min="35" max="35" width="5.7109375" bestFit="1" customWidth="1"/>
    <col min="36" max="36" width="4" bestFit="1" customWidth="1"/>
    <col min="37" max="37" width="3.42578125" bestFit="1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5.7109375" bestFit="1" customWidth="1"/>
    <col min="44" max="44" width="4.140625" bestFit="1" customWidth="1"/>
    <col min="45" max="45" width="3.7109375" bestFit="1" customWidth="1"/>
    <col min="46" max="46" width="7.140625" bestFit="1" customWidth="1"/>
    <col min="47" max="47" width="5.85546875" bestFit="1" customWidth="1"/>
    <col min="48" max="48" width="4.140625" bestFit="1" customWidth="1"/>
    <col min="49" max="49" width="4.5703125" customWidth="1"/>
  </cols>
  <sheetData>
    <row r="1" spans="1:49" s="94" customFormat="1" ht="18" x14ac:dyDescent="0.25">
      <c r="A1" s="96" t="s">
        <v>243</v>
      </c>
      <c r="B1" s="416">
        <f>AT35+AV35</f>
        <v>5378.7300000000005</v>
      </c>
      <c r="C1" s="416"/>
      <c r="D1" s="97" t="s">
        <v>243</v>
      </c>
      <c r="E1" s="417">
        <f>AT35</f>
        <v>4457.93</v>
      </c>
      <c r="F1" s="417"/>
      <c r="G1" s="418" t="s">
        <v>155</v>
      </c>
      <c r="H1" s="418"/>
      <c r="I1" s="414">
        <f>MAX(B36,F36,J36,N36,R36,V36,Z36,AD36,AH36,AL36,AP36,AT36)</f>
        <v>125.31</v>
      </c>
      <c r="J1" s="414"/>
      <c r="K1" s="419" t="s">
        <v>163</v>
      </c>
      <c r="L1" s="419"/>
      <c r="M1" s="420">
        <f>MAX(B34,F34,J34,N34,R34,V34,Z34,AD34,AH34,AL34,AP34,AT34)</f>
        <v>666.43000000000006</v>
      </c>
      <c r="N1" s="420"/>
      <c r="O1" s="413" t="s">
        <v>194</v>
      </c>
      <c r="P1" s="413"/>
      <c r="Q1" s="413"/>
      <c r="R1" s="185">
        <f>MIN(B34,F34,J34,N34,R34,V34,Z34,AD34,AH34,AL34,AP34,AT34)</f>
        <v>33.25</v>
      </c>
      <c r="S1" s="98" t="s">
        <v>211</v>
      </c>
      <c r="T1" s="426">
        <f>IFERROR(AVERAGE(B37,F37,J37,N37,R37,V37,Z37,AD37,AH37,AL37,AP37,AT37),0)</f>
        <v>21.826653316809644</v>
      </c>
      <c r="U1" s="426"/>
      <c r="V1" s="433" t="s">
        <v>333</v>
      </c>
      <c r="W1" s="433"/>
      <c r="X1" s="433"/>
      <c r="Y1" s="433"/>
      <c r="Z1" s="433"/>
      <c r="AA1" s="99" t="s">
        <v>211</v>
      </c>
      <c r="AB1" s="415">
        <f>IFERROR(AVERAGE(C37,G37,K37,O37,S37,W37,AA37,AE37,AI37,AM37,AQ37,AU37),0)</f>
        <v>180.7417338841891</v>
      </c>
      <c r="AC1" s="415"/>
      <c r="AD1" s="425" t="s">
        <v>194</v>
      </c>
      <c r="AE1" s="425"/>
      <c r="AF1" s="428">
        <f>MIN(C34,G34,K34,O34,S34,W34,AA34,AE34,AI34,AM34,AQ34,AU34)</f>
        <v>118</v>
      </c>
      <c r="AG1" s="428"/>
      <c r="AH1" s="429" t="s">
        <v>163</v>
      </c>
      <c r="AI1" s="429"/>
      <c r="AJ1" s="430">
        <f>MAX(C34,G34,K34,O34,S34,W34,AA34,AE34,AI34,AM34,AQ34,AU34)</f>
        <v>7846</v>
      </c>
      <c r="AK1" s="430"/>
      <c r="AL1" s="432" t="s">
        <v>156</v>
      </c>
      <c r="AM1" s="432"/>
      <c r="AN1" s="431">
        <f>MAX(C36,G36,K36,O36,S36,W36,AA36,AE36,AI36,AM36,AQ36,AU36)</f>
        <v>2170</v>
      </c>
      <c r="AO1" s="431"/>
      <c r="AP1" s="421" t="s">
        <v>366</v>
      </c>
      <c r="AQ1" s="421"/>
      <c r="AR1" s="422">
        <f>MAX(D36,H36,L36,P36,T36,X36,AB36,AF36,AJ36,AN36,AR36,AV36)</f>
        <v>9.0277777777777776E-2</v>
      </c>
      <c r="AS1" s="422"/>
      <c r="AT1" s="95" t="s">
        <v>2</v>
      </c>
      <c r="AU1" s="423">
        <f>AU35</f>
        <v>38191</v>
      </c>
      <c r="AV1" s="424"/>
      <c r="AW1" s="121"/>
    </row>
    <row r="2" spans="1:49" s="58" customFormat="1" ht="11.25" x14ac:dyDescent="0.2">
      <c r="A2" s="64" t="s">
        <v>197</v>
      </c>
      <c r="B2" s="49" t="s">
        <v>243</v>
      </c>
      <c r="C2" s="49" t="s">
        <v>2</v>
      </c>
      <c r="D2" s="49" t="s">
        <v>208</v>
      </c>
      <c r="E2" s="70" t="s">
        <v>198</v>
      </c>
      <c r="F2" s="49" t="s">
        <v>243</v>
      </c>
      <c r="G2" s="49" t="s">
        <v>2</v>
      </c>
      <c r="H2" s="49" t="s">
        <v>208</v>
      </c>
      <c r="I2" s="70" t="s">
        <v>200</v>
      </c>
      <c r="J2" s="49" t="s">
        <v>243</v>
      </c>
      <c r="K2" s="49" t="s">
        <v>2</v>
      </c>
      <c r="L2" s="49" t="s">
        <v>208</v>
      </c>
      <c r="M2" s="70" t="s">
        <v>199</v>
      </c>
      <c r="N2" s="49" t="s">
        <v>243</v>
      </c>
      <c r="O2" s="49" t="s">
        <v>2</v>
      </c>
      <c r="P2" s="49" t="s">
        <v>208</v>
      </c>
      <c r="Q2" s="70" t="s">
        <v>100</v>
      </c>
      <c r="R2" s="49" t="s">
        <v>243</v>
      </c>
      <c r="S2" s="49" t="s">
        <v>2</v>
      </c>
      <c r="T2" s="49" t="s">
        <v>208</v>
      </c>
      <c r="U2" s="70" t="s">
        <v>201</v>
      </c>
      <c r="V2" s="49" t="s">
        <v>243</v>
      </c>
      <c r="W2" s="49" t="s">
        <v>2</v>
      </c>
      <c r="X2" s="49" t="s">
        <v>208</v>
      </c>
      <c r="Y2" s="70" t="s">
        <v>202</v>
      </c>
      <c r="Z2" s="49" t="s">
        <v>243</v>
      </c>
      <c r="AA2" s="49" t="s">
        <v>2</v>
      </c>
      <c r="AB2" s="49" t="s">
        <v>208</v>
      </c>
      <c r="AC2" s="70" t="s">
        <v>203</v>
      </c>
      <c r="AD2" s="49" t="s">
        <v>243</v>
      </c>
      <c r="AE2" s="49" t="s">
        <v>2</v>
      </c>
      <c r="AF2" s="49" t="s">
        <v>208</v>
      </c>
      <c r="AG2" s="70" t="s">
        <v>204</v>
      </c>
      <c r="AH2" s="49" t="s">
        <v>243</v>
      </c>
      <c r="AI2" s="49" t="s">
        <v>2</v>
      </c>
      <c r="AJ2" s="49" t="s">
        <v>208</v>
      </c>
      <c r="AK2" s="70" t="s">
        <v>205</v>
      </c>
      <c r="AL2" s="49" t="s">
        <v>243</v>
      </c>
      <c r="AM2" s="49" t="s">
        <v>2</v>
      </c>
      <c r="AN2" s="49" t="s">
        <v>208</v>
      </c>
      <c r="AO2" s="70" t="s">
        <v>206</v>
      </c>
      <c r="AP2" s="49" t="s">
        <v>243</v>
      </c>
      <c r="AQ2" s="49" t="s">
        <v>2</v>
      </c>
      <c r="AR2" s="49" t="s">
        <v>208</v>
      </c>
      <c r="AS2" s="70" t="s">
        <v>207</v>
      </c>
      <c r="AT2" s="49" t="s">
        <v>243</v>
      </c>
      <c r="AU2" s="49" t="s">
        <v>2</v>
      </c>
      <c r="AV2" s="49" t="s">
        <v>208</v>
      </c>
      <c r="AW2" s="105"/>
    </row>
    <row r="3" spans="1:49" s="54" customFormat="1" ht="11.25" x14ac:dyDescent="0.2">
      <c r="A3" s="86">
        <v>1</v>
      </c>
      <c r="B3" s="59">
        <v>10.73</v>
      </c>
      <c r="C3" s="60">
        <v>25</v>
      </c>
      <c r="D3" s="186"/>
      <c r="E3" s="88">
        <v>1</v>
      </c>
      <c r="F3" s="59"/>
      <c r="G3" s="60"/>
      <c r="H3" s="186">
        <v>8.3333333333333329E-2</v>
      </c>
      <c r="I3" s="88">
        <v>1</v>
      </c>
      <c r="J3" s="59">
        <v>12.01</v>
      </c>
      <c r="K3" s="60">
        <v>100</v>
      </c>
      <c r="L3" s="186"/>
      <c r="M3" s="88">
        <v>1</v>
      </c>
      <c r="N3" s="59">
        <v>20.76</v>
      </c>
      <c r="O3" s="60">
        <v>10</v>
      </c>
      <c r="P3" s="186"/>
      <c r="Q3" s="88">
        <v>1</v>
      </c>
      <c r="R3" s="59"/>
      <c r="S3" s="60"/>
      <c r="T3" s="186"/>
      <c r="U3" s="88">
        <v>1</v>
      </c>
      <c r="V3" s="59"/>
      <c r="W3" s="60"/>
      <c r="X3" s="186"/>
      <c r="Y3" s="88">
        <v>1</v>
      </c>
      <c r="Z3" s="59"/>
      <c r="AA3" s="60"/>
      <c r="AB3" s="186"/>
      <c r="AC3" s="88">
        <v>1</v>
      </c>
      <c r="AD3" s="59">
        <v>17</v>
      </c>
      <c r="AE3" s="60">
        <v>45</v>
      </c>
      <c r="AF3" s="186"/>
      <c r="AG3" s="88">
        <v>1</v>
      </c>
      <c r="AH3" s="59">
        <v>16.2</v>
      </c>
      <c r="AI3" s="60">
        <v>182</v>
      </c>
      <c r="AJ3" s="186"/>
      <c r="AK3" s="88">
        <v>1</v>
      </c>
      <c r="AL3" s="59"/>
      <c r="AM3" s="60"/>
      <c r="AN3" s="186"/>
      <c r="AO3" s="88">
        <v>1</v>
      </c>
      <c r="AP3" s="59">
        <v>11</v>
      </c>
      <c r="AQ3" s="60">
        <v>5</v>
      </c>
      <c r="AR3" s="186">
        <v>4.1666666666666664E-2</v>
      </c>
      <c r="AS3" s="88">
        <v>1</v>
      </c>
      <c r="AT3" s="59"/>
      <c r="AU3" s="60"/>
      <c r="AV3" s="186"/>
      <c r="AW3" s="73"/>
    </row>
    <row r="4" spans="1:49" s="54" customFormat="1" ht="11.25" x14ac:dyDescent="0.2">
      <c r="A4" s="86">
        <f>A3+1</f>
        <v>2</v>
      </c>
      <c r="B4" s="59"/>
      <c r="C4" s="60"/>
      <c r="D4" s="186"/>
      <c r="E4" s="88">
        <f>E3+1</f>
        <v>2</v>
      </c>
      <c r="F4" s="59"/>
      <c r="G4" s="60"/>
      <c r="H4" s="186"/>
      <c r="I4" s="88">
        <f>I3+1</f>
        <v>2</v>
      </c>
      <c r="J4" s="59">
        <v>13</v>
      </c>
      <c r="K4" s="60">
        <v>346</v>
      </c>
      <c r="L4" s="186"/>
      <c r="M4" s="88">
        <f>M3+1</f>
        <v>2</v>
      </c>
      <c r="N4" s="59">
        <v>43.62</v>
      </c>
      <c r="O4" s="60">
        <v>475</v>
      </c>
      <c r="P4" s="186"/>
      <c r="Q4" s="88">
        <f>Q3+1</f>
        <v>2</v>
      </c>
      <c r="R4" s="59"/>
      <c r="S4" s="60"/>
      <c r="T4" s="186"/>
      <c r="U4" s="88">
        <f>U3+1</f>
        <v>2</v>
      </c>
      <c r="V4" s="59"/>
      <c r="W4" s="60"/>
      <c r="X4" s="186"/>
      <c r="Y4" s="88">
        <f>Y3+1</f>
        <v>2</v>
      </c>
      <c r="Z4" s="59"/>
      <c r="AA4" s="60"/>
      <c r="AB4" s="186"/>
      <c r="AC4" s="88">
        <f>AC3+1</f>
        <v>2</v>
      </c>
      <c r="AD4" s="59"/>
      <c r="AE4" s="60"/>
      <c r="AF4" s="186"/>
      <c r="AG4" s="88">
        <f>AG3+1</f>
        <v>2</v>
      </c>
      <c r="AH4" s="59">
        <v>10.4</v>
      </c>
      <c r="AI4" s="60">
        <v>15</v>
      </c>
      <c r="AJ4" s="186"/>
      <c r="AK4" s="88">
        <f>AK3+1</f>
        <v>2</v>
      </c>
      <c r="AL4" s="59"/>
      <c r="AM4" s="60"/>
      <c r="AN4" s="186"/>
      <c r="AO4" s="88">
        <f>AO3+1</f>
        <v>2</v>
      </c>
      <c r="AP4" s="59"/>
      <c r="AQ4" s="60"/>
      <c r="AR4" s="186"/>
      <c r="AS4" s="88">
        <f>AS3+1</f>
        <v>2</v>
      </c>
      <c r="AT4" s="59"/>
      <c r="AU4" s="60"/>
      <c r="AV4" s="186"/>
      <c r="AW4" s="73"/>
    </row>
    <row r="5" spans="1:49" s="54" customFormat="1" ht="11.25" x14ac:dyDescent="0.2">
      <c r="A5" s="86">
        <f t="shared" ref="A5:A33" si="0">A4+1</f>
        <v>3</v>
      </c>
      <c r="B5" s="59"/>
      <c r="C5" s="60"/>
      <c r="D5" s="186">
        <v>2.0833333333333332E-2</v>
      </c>
      <c r="E5" s="88">
        <f t="shared" ref="E5:E30" si="1">E4+1</f>
        <v>3</v>
      </c>
      <c r="F5" s="59"/>
      <c r="G5" s="60"/>
      <c r="H5" s="186"/>
      <c r="I5" s="88">
        <f t="shared" ref="I5:I33" si="2">I4+1</f>
        <v>3</v>
      </c>
      <c r="J5" s="59"/>
      <c r="K5" s="60"/>
      <c r="L5" s="186"/>
      <c r="M5" s="88">
        <f t="shared" ref="M5:M32" si="3">M4+1</f>
        <v>3</v>
      </c>
      <c r="N5" s="59">
        <v>35.07</v>
      </c>
      <c r="O5" s="60">
        <v>100</v>
      </c>
      <c r="P5" s="186"/>
      <c r="Q5" s="88">
        <f t="shared" ref="Q5:Q33" si="4">Q4+1</f>
        <v>3</v>
      </c>
      <c r="R5" s="59">
        <v>11.13</v>
      </c>
      <c r="S5" s="60">
        <v>2</v>
      </c>
      <c r="T5" s="186"/>
      <c r="U5" s="88">
        <f t="shared" ref="U5:U32" si="5">U4+1</f>
        <v>3</v>
      </c>
      <c r="V5" s="59">
        <v>25.82</v>
      </c>
      <c r="W5" s="60">
        <v>153</v>
      </c>
      <c r="X5" s="186"/>
      <c r="Y5" s="88">
        <f t="shared" ref="Y5:Y33" si="6">Y4+1</f>
        <v>3</v>
      </c>
      <c r="Z5" s="59">
        <v>16.850000000000001</v>
      </c>
      <c r="AA5" s="60">
        <v>536</v>
      </c>
      <c r="AB5" s="186"/>
      <c r="AC5" s="88">
        <f t="shared" ref="AC5:AC33" si="7">AC4+1</f>
        <v>3</v>
      </c>
      <c r="AD5" s="59"/>
      <c r="AE5" s="60"/>
      <c r="AF5" s="186"/>
      <c r="AG5" s="88">
        <f t="shared" ref="AG5:AG32" si="8">AG4+1</f>
        <v>3</v>
      </c>
      <c r="AH5" s="59">
        <v>22.5</v>
      </c>
      <c r="AI5" s="60">
        <v>110</v>
      </c>
      <c r="AJ5" s="186"/>
      <c r="AK5" s="88">
        <f t="shared" ref="AK5:AK33" si="9">AK4+1</f>
        <v>3</v>
      </c>
      <c r="AL5" s="59">
        <v>40.76</v>
      </c>
      <c r="AM5" s="60">
        <v>96</v>
      </c>
      <c r="AN5" s="186"/>
      <c r="AO5" s="88">
        <f t="shared" ref="AO5:AO32" si="10">AO4+1</f>
        <v>3</v>
      </c>
      <c r="AP5" s="59"/>
      <c r="AQ5" s="60"/>
      <c r="AR5" s="186"/>
      <c r="AS5" s="88">
        <f t="shared" ref="AS5:AS33" si="11">AS4+1</f>
        <v>3</v>
      </c>
      <c r="AT5" s="59"/>
      <c r="AU5" s="60"/>
      <c r="AV5" s="186">
        <v>2.0833333333333332E-2</v>
      </c>
      <c r="AW5" s="73"/>
    </row>
    <row r="6" spans="1:49" s="54" customFormat="1" ht="11.25" x14ac:dyDescent="0.2">
      <c r="A6" s="86">
        <f t="shared" si="0"/>
        <v>4</v>
      </c>
      <c r="B6" s="59">
        <v>9.5299999999999994</v>
      </c>
      <c r="C6" s="60">
        <v>30</v>
      </c>
      <c r="D6" s="186">
        <v>2.4305555555555556E-2</v>
      </c>
      <c r="E6" s="88">
        <f t="shared" si="1"/>
        <v>4</v>
      </c>
      <c r="F6" s="59">
        <v>10.78</v>
      </c>
      <c r="G6" s="60">
        <v>2</v>
      </c>
      <c r="H6" s="186"/>
      <c r="I6" s="88">
        <f t="shared" si="2"/>
        <v>4</v>
      </c>
      <c r="J6" s="59">
        <v>16.489999999999998</v>
      </c>
      <c r="K6" s="60">
        <v>70</v>
      </c>
      <c r="L6" s="186"/>
      <c r="M6" s="88">
        <f t="shared" si="3"/>
        <v>4</v>
      </c>
      <c r="N6" s="59">
        <v>48.09</v>
      </c>
      <c r="O6" s="60">
        <v>652</v>
      </c>
      <c r="P6" s="186">
        <v>2.0833333333333332E-2</v>
      </c>
      <c r="Q6" s="88">
        <f t="shared" si="4"/>
        <v>4</v>
      </c>
      <c r="R6" s="59">
        <v>15.92</v>
      </c>
      <c r="S6" s="60">
        <v>15</v>
      </c>
      <c r="T6" s="186"/>
      <c r="U6" s="88">
        <f t="shared" si="5"/>
        <v>4</v>
      </c>
      <c r="V6" s="59"/>
      <c r="W6" s="60"/>
      <c r="X6" s="186"/>
      <c r="Y6" s="88">
        <f t="shared" si="6"/>
        <v>4</v>
      </c>
      <c r="Z6" s="59">
        <v>49.36</v>
      </c>
      <c r="AA6" s="60">
        <v>611</v>
      </c>
      <c r="AB6" s="186"/>
      <c r="AC6" s="88">
        <f t="shared" si="7"/>
        <v>4</v>
      </c>
      <c r="AD6" s="59">
        <v>22.83</v>
      </c>
      <c r="AE6" s="60">
        <v>115</v>
      </c>
      <c r="AF6" s="186"/>
      <c r="AG6" s="88">
        <f t="shared" si="8"/>
        <v>4</v>
      </c>
      <c r="AH6" s="59">
        <v>48.13</v>
      </c>
      <c r="AI6" s="60">
        <v>771</v>
      </c>
      <c r="AJ6" s="186"/>
      <c r="AK6" s="88">
        <f t="shared" si="9"/>
        <v>4</v>
      </c>
      <c r="AL6" s="59">
        <v>25.66</v>
      </c>
      <c r="AM6" s="60">
        <v>25</v>
      </c>
      <c r="AN6" s="186"/>
      <c r="AO6" s="88">
        <f t="shared" si="10"/>
        <v>4</v>
      </c>
      <c r="AP6" s="59">
        <v>10</v>
      </c>
      <c r="AQ6" s="60">
        <v>5</v>
      </c>
      <c r="AR6" s="186"/>
      <c r="AS6" s="88">
        <f t="shared" si="11"/>
        <v>4</v>
      </c>
      <c r="AT6" s="59"/>
      <c r="AU6" s="60"/>
      <c r="AV6" s="186"/>
      <c r="AW6" s="73"/>
    </row>
    <row r="7" spans="1:49" s="54" customFormat="1" ht="11.25" x14ac:dyDescent="0.2">
      <c r="A7" s="86">
        <f t="shared" si="0"/>
        <v>5</v>
      </c>
      <c r="B7" s="59"/>
      <c r="C7" s="60"/>
      <c r="D7" s="186"/>
      <c r="E7" s="88">
        <f t="shared" si="1"/>
        <v>5</v>
      </c>
      <c r="F7" s="59"/>
      <c r="G7" s="60"/>
      <c r="H7" s="186"/>
      <c r="I7" s="88">
        <f t="shared" si="2"/>
        <v>5</v>
      </c>
      <c r="J7" s="59">
        <v>14.66</v>
      </c>
      <c r="K7" s="60">
        <v>153</v>
      </c>
      <c r="L7" s="186"/>
      <c r="M7" s="88">
        <f t="shared" si="3"/>
        <v>5</v>
      </c>
      <c r="N7" s="59">
        <v>43.64</v>
      </c>
      <c r="O7" s="60">
        <v>680</v>
      </c>
      <c r="P7" s="186"/>
      <c r="Q7" s="88">
        <f t="shared" si="4"/>
        <v>5</v>
      </c>
      <c r="R7" s="59">
        <v>30.1</v>
      </c>
      <c r="S7" s="60">
        <v>31</v>
      </c>
      <c r="T7" s="186"/>
      <c r="U7" s="88">
        <f t="shared" si="5"/>
        <v>5</v>
      </c>
      <c r="V7" s="59">
        <v>10.1</v>
      </c>
      <c r="W7" s="60">
        <v>306</v>
      </c>
      <c r="X7" s="186"/>
      <c r="Y7" s="88">
        <f t="shared" si="6"/>
        <v>5</v>
      </c>
      <c r="Z7" s="59"/>
      <c r="AA7" s="60"/>
      <c r="AB7" s="186"/>
      <c r="AC7" s="88">
        <f t="shared" si="7"/>
        <v>5</v>
      </c>
      <c r="AD7" s="59"/>
      <c r="AE7" s="60"/>
      <c r="AF7" s="186"/>
      <c r="AG7" s="88">
        <f t="shared" si="8"/>
        <v>5</v>
      </c>
      <c r="AH7" s="59">
        <v>33.590000000000003</v>
      </c>
      <c r="AI7" s="60">
        <v>465</v>
      </c>
      <c r="AJ7" s="186"/>
      <c r="AK7" s="88">
        <f t="shared" si="9"/>
        <v>5</v>
      </c>
      <c r="AL7" s="59"/>
      <c r="AM7" s="60"/>
      <c r="AN7" s="186"/>
      <c r="AO7" s="88">
        <f t="shared" si="10"/>
        <v>5</v>
      </c>
      <c r="AP7" s="59"/>
      <c r="AQ7" s="60"/>
      <c r="AR7" s="186"/>
      <c r="AS7" s="88">
        <f t="shared" si="11"/>
        <v>5</v>
      </c>
      <c r="AT7" s="59"/>
      <c r="AU7" s="60"/>
      <c r="AV7" s="186"/>
      <c r="AW7" s="73"/>
    </row>
    <row r="8" spans="1:49" s="54" customFormat="1" ht="11.25" x14ac:dyDescent="0.2">
      <c r="A8" s="86">
        <f t="shared" si="0"/>
        <v>6</v>
      </c>
      <c r="B8" s="59">
        <v>11.95</v>
      </c>
      <c r="C8" s="60">
        <v>315</v>
      </c>
      <c r="D8" s="186">
        <v>6.9444444444444434E-2</v>
      </c>
      <c r="E8" s="88">
        <f t="shared" si="1"/>
        <v>6</v>
      </c>
      <c r="F8" s="59">
        <v>25.35</v>
      </c>
      <c r="G8" s="60">
        <v>25</v>
      </c>
      <c r="H8" s="186">
        <v>4.1666666666666664E-2</v>
      </c>
      <c r="I8" s="88">
        <f t="shared" si="2"/>
        <v>6</v>
      </c>
      <c r="J8" s="59"/>
      <c r="K8" s="60"/>
      <c r="L8" s="186">
        <v>4.5138888888888888E-2</v>
      </c>
      <c r="M8" s="88">
        <f t="shared" si="3"/>
        <v>6</v>
      </c>
      <c r="N8" s="59">
        <v>20.66</v>
      </c>
      <c r="O8" s="60">
        <v>91</v>
      </c>
      <c r="P8" s="186"/>
      <c r="Q8" s="88">
        <f t="shared" si="4"/>
        <v>6</v>
      </c>
      <c r="R8" s="59"/>
      <c r="S8" s="60"/>
      <c r="T8" s="186"/>
      <c r="U8" s="88">
        <f t="shared" si="5"/>
        <v>6</v>
      </c>
      <c r="V8" s="59">
        <v>16.850000000000001</v>
      </c>
      <c r="W8" s="60">
        <v>536</v>
      </c>
      <c r="X8" s="186"/>
      <c r="Y8" s="88">
        <f t="shared" si="6"/>
        <v>6</v>
      </c>
      <c r="Z8" s="59">
        <v>20.21</v>
      </c>
      <c r="AA8" s="60">
        <v>15</v>
      </c>
      <c r="AB8" s="186"/>
      <c r="AC8" s="88">
        <f t="shared" si="7"/>
        <v>6</v>
      </c>
      <c r="AD8" s="59">
        <v>19.399999999999999</v>
      </c>
      <c r="AE8" s="60">
        <v>40</v>
      </c>
      <c r="AF8" s="186"/>
      <c r="AG8" s="88">
        <f t="shared" si="8"/>
        <v>6</v>
      </c>
      <c r="AH8" s="59"/>
      <c r="AI8" s="60"/>
      <c r="AJ8" s="186"/>
      <c r="AK8" s="88">
        <f t="shared" si="9"/>
        <v>6</v>
      </c>
      <c r="AL8" s="59">
        <v>24.97</v>
      </c>
      <c r="AM8" s="60">
        <v>285</v>
      </c>
      <c r="AN8" s="186"/>
      <c r="AO8" s="88">
        <f t="shared" si="10"/>
        <v>6</v>
      </c>
      <c r="AP8" s="59"/>
      <c r="AQ8" s="60"/>
      <c r="AR8" s="186">
        <v>4.1666666666666664E-2</v>
      </c>
      <c r="AS8" s="88">
        <f t="shared" si="11"/>
        <v>6</v>
      </c>
      <c r="AT8" s="59"/>
      <c r="AU8" s="60"/>
      <c r="AV8" s="186"/>
      <c r="AW8" s="73"/>
    </row>
    <row r="9" spans="1:49" s="54" customFormat="1" ht="11.25" x14ac:dyDescent="0.2">
      <c r="A9" s="86">
        <f t="shared" si="0"/>
        <v>7</v>
      </c>
      <c r="B9" s="59"/>
      <c r="C9" s="60"/>
      <c r="D9" s="186"/>
      <c r="E9" s="88">
        <f t="shared" si="1"/>
        <v>7</v>
      </c>
      <c r="F9" s="59">
        <v>35</v>
      </c>
      <c r="G9" s="60">
        <v>435</v>
      </c>
      <c r="H9" s="186"/>
      <c r="I9" s="88">
        <f t="shared" si="2"/>
        <v>7</v>
      </c>
      <c r="J9" s="59">
        <v>50.5</v>
      </c>
      <c r="K9" s="60">
        <v>219</v>
      </c>
      <c r="L9" s="186">
        <v>4.1666666666666664E-2</v>
      </c>
      <c r="M9" s="88">
        <f t="shared" si="3"/>
        <v>7</v>
      </c>
      <c r="N9" s="59">
        <v>22.49</v>
      </c>
      <c r="O9" s="60">
        <v>172</v>
      </c>
      <c r="P9" s="186"/>
      <c r="Q9" s="88">
        <f t="shared" si="4"/>
        <v>7</v>
      </c>
      <c r="R9" s="59">
        <v>13.27</v>
      </c>
      <c r="S9" s="60">
        <v>46</v>
      </c>
      <c r="T9" s="186"/>
      <c r="U9" s="88">
        <f t="shared" si="5"/>
        <v>7</v>
      </c>
      <c r="V9" s="59">
        <v>16.850000000000001</v>
      </c>
      <c r="W9" s="60">
        <v>536</v>
      </c>
      <c r="X9" s="186"/>
      <c r="Y9" s="88">
        <f t="shared" si="6"/>
        <v>7</v>
      </c>
      <c r="Z9" s="59"/>
      <c r="AA9" s="60"/>
      <c r="AB9" s="186"/>
      <c r="AC9" s="88">
        <f t="shared" si="7"/>
        <v>7</v>
      </c>
      <c r="AD9" s="59">
        <v>12</v>
      </c>
      <c r="AE9" s="60">
        <v>2</v>
      </c>
      <c r="AF9" s="186"/>
      <c r="AG9" s="88">
        <f t="shared" si="8"/>
        <v>7</v>
      </c>
      <c r="AH9" s="59"/>
      <c r="AI9" s="60"/>
      <c r="AJ9" s="186"/>
      <c r="AK9" s="88">
        <f t="shared" si="9"/>
        <v>7</v>
      </c>
      <c r="AL9" s="59"/>
      <c r="AM9" s="60"/>
      <c r="AN9" s="186"/>
      <c r="AO9" s="88">
        <f t="shared" si="10"/>
        <v>7</v>
      </c>
      <c r="AP9" s="59">
        <v>11</v>
      </c>
      <c r="AQ9" s="60">
        <v>5</v>
      </c>
      <c r="AR9" s="186"/>
      <c r="AS9" s="88">
        <f t="shared" si="11"/>
        <v>7</v>
      </c>
      <c r="AT9" s="59"/>
      <c r="AU9" s="60"/>
      <c r="AV9" s="186">
        <v>3.125E-2</v>
      </c>
      <c r="AW9" s="73"/>
    </row>
    <row r="10" spans="1:49" s="54" customFormat="1" ht="11.25" x14ac:dyDescent="0.2">
      <c r="A10" s="86">
        <f t="shared" si="0"/>
        <v>8</v>
      </c>
      <c r="B10" s="59">
        <v>16.71</v>
      </c>
      <c r="C10" s="60">
        <v>100</v>
      </c>
      <c r="D10" s="186"/>
      <c r="E10" s="88">
        <f t="shared" si="1"/>
        <v>8</v>
      </c>
      <c r="F10" s="59">
        <v>16.28</v>
      </c>
      <c r="G10" s="60">
        <v>36</v>
      </c>
      <c r="H10" s="186"/>
      <c r="I10" s="88">
        <f t="shared" si="2"/>
        <v>8</v>
      </c>
      <c r="J10" s="59">
        <v>15.38</v>
      </c>
      <c r="K10" s="60">
        <v>40</v>
      </c>
      <c r="L10" s="186"/>
      <c r="M10" s="88">
        <f t="shared" si="3"/>
        <v>8</v>
      </c>
      <c r="N10" s="59">
        <v>9.41</v>
      </c>
      <c r="O10" s="60">
        <v>119</v>
      </c>
      <c r="P10" s="186"/>
      <c r="Q10" s="88">
        <f t="shared" si="4"/>
        <v>8</v>
      </c>
      <c r="R10" s="59">
        <v>8.61</v>
      </c>
      <c r="S10" s="60">
        <v>20</v>
      </c>
      <c r="T10" s="186"/>
      <c r="U10" s="88">
        <f t="shared" si="5"/>
        <v>8</v>
      </c>
      <c r="V10" s="59">
        <v>24.68</v>
      </c>
      <c r="W10" s="60">
        <v>20</v>
      </c>
      <c r="X10" s="186"/>
      <c r="Y10" s="88">
        <f t="shared" si="6"/>
        <v>8</v>
      </c>
      <c r="Z10" s="59">
        <v>10.33</v>
      </c>
      <c r="AA10" s="60">
        <v>15</v>
      </c>
      <c r="AB10" s="186"/>
      <c r="AC10" s="88">
        <f t="shared" si="7"/>
        <v>8</v>
      </c>
      <c r="AD10" s="59">
        <v>14</v>
      </c>
      <c r="AE10" s="60">
        <v>2</v>
      </c>
      <c r="AF10" s="186"/>
      <c r="AG10" s="88">
        <f t="shared" si="8"/>
        <v>8</v>
      </c>
      <c r="AJ10" s="186"/>
      <c r="AK10" s="88">
        <f t="shared" si="9"/>
        <v>8</v>
      </c>
      <c r="AL10" s="59">
        <v>11.27</v>
      </c>
      <c r="AM10" s="60">
        <v>292</v>
      </c>
      <c r="AN10" s="186"/>
      <c r="AO10" s="88">
        <f t="shared" si="10"/>
        <v>8</v>
      </c>
      <c r="AP10" s="59">
        <v>15.86</v>
      </c>
      <c r="AQ10" s="60">
        <v>30</v>
      </c>
      <c r="AR10" s="186"/>
      <c r="AS10" s="88">
        <f t="shared" si="11"/>
        <v>8</v>
      </c>
      <c r="AT10" s="59">
        <v>5.89</v>
      </c>
      <c r="AU10" s="60">
        <v>35</v>
      </c>
      <c r="AV10" s="186">
        <v>4.8611111111111112E-2</v>
      </c>
      <c r="AW10" s="73"/>
    </row>
    <row r="11" spans="1:49" s="54" customFormat="1" ht="11.25" x14ac:dyDescent="0.2">
      <c r="A11" s="86">
        <f t="shared" si="0"/>
        <v>9</v>
      </c>
      <c r="B11" s="59"/>
      <c r="C11" s="60"/>
      <c r="D11" s="186">
        <v>2.0833333333333332E-2</v>
      </c>
      <c r="E11" s="88">
        <f t="shared" si="1"/>
        <v>9</v>
      </c>
      <c r="F11" s="59">
        <v>13.16</v>
      </c>
      <c r="G11" s="60">
        <v>35</v>
      </c>
      <c r="H11" s="186">
        <v>4.1666666666666664E-2</v>
      </c>
      <c r="I11" s="88">
        <f t="shared" si="2"/>
        <v>9</v>
      </c>
      <c r="J11" s="59"/>
      <c r="K11" s="60"/>
      <c r="L11" s="186"/>
      <c r="M11" s="88">
        <f t="shared" si="3"/>
        <v>9</v>
      </c>
      <c r="N11" s="59">
        <v>19.670000000000002</v>
      </c>
      <c r="O11" s="60">
        <v>357</v>
      </c>
      <c r="P11" s="186"/>
      <c r="Q11" s="88">
        <f t="shared" si="4"/>
        <v>9</v>
      </c>
      <c r="R11" s="59">
        <v>9.07</v>
      </c>
      <c r="S11" s="60">
        <v>2</v>
      </c>
      <c r="T11" s="186"/>
      <c r="U11" s="88">
        <f t="shared" si="5"/>
        <v>9</v>
      </c>
      <c r="V11" s="59">
        <v>20.46</v>
      </c>
      <c r="W11" s="60">
        <v>10</v>
      </c>
      <c r="X11" s="186"/>
      <c r="Y11" s="88">
        <f t="shared" si="6"/>
        <v>9</v>
      </c>
      <c r="Z11" s="59">
        <v>19.399999999999999</v>
      </c>
      <c r="AA11" s="60">
        <v>15</v>
      </c>
      <c r="AB11" s="186"/>
      <c r="AC11" s="88">
        <f t="shared" si="7"/>
        <v>9</v>
      </c>
      <c r="AD11" s="59">
        <v>36.03</v>
      </c>
      <c r="AE11" s="60">
        <v>30</v>
      </c>
      <c r="AF11" s="186"/>
      <c r="AG11" s="88">
        <f t="shared" si="8"/>
        <v>9</v>
      </c>
      <c r="AH11" s="59">
        <v>11.31</v>
      </c>
      <c r="AI11" s="60">
        <v>25</v>
      </c>
      <c r="AJ11" s="186"/>
      <c r="AK11" s="88">
        <f t="shared" si="9"/>
        <v>9</v>
      </c>
      <c r="AL11" s="59">
        <v>25.66</v>
      </c>
      <c r="AM11" s="60">
        <v>25</v>
      </c>
      <c r="AN11" s="186"/>
      <c r="AO11" s="88">
        <f t="shared" si="10"/>
        <v>9</v>
      </c>
      <c r="AP11" s="59">
        <v>13.4</v>
      </c>
      <c r="AQ11" s="60">
        <v>40</v>
      </c>
      <c r="AR11" s="186"/>
      <c r="AS11" s="88">
        <f t="shared" si="11"/>
        <v>9</v>
      </c>
      <c r="AT11" s="59"/>
      <c r="AU11" s="60"/>
      <c r="AV11" s="186"/>
      <c r="AW11" s="73"/>
    </row>
    <row r="12" spans="1:49" s="54" customFormat="1" ht="11.25" x14ac:dyDescent="0.2">
      <c r="A12" s="86">
        <f t="shared" si="0"/>
        <v>10</v>
      </c>
      <c r="B12" s="59"/>
      <c r="C12" s="60"/>
      <c r="D12" s="186"/>
      <c r="E12" s="88">
        <f t="shared" si="1"/>
        <v>10</v>
      </c>
      <c r="F12" s="59"/>
      <c r="G12" s="60"/>
      <c r="H12" s="186">
        <v>2.0833333333333332E-2</v>
      </c>
      <c r="I12" s="88">
        <f t="shared" si="2"/>
        <v>10</v>
      </c>
      <c r="J12" s="59">
        <v>16.149999999999999</v>
      </c>
      <c r="K12" s="60">
        <v>40</v>
      </c>
      <c r="L12" s="186"/>
      <c r="M12" s="88">
        <f t="shared" si="3"/>
        <v>10</v>
      </c>
      <c r="N12" s="59">
        <v>40</v>
      </c>
      <c r="O12" s="60">
        <v>658</v>
      </c>
      <c r="P12" s="186"/>
      <c r="Q12" s="88">
        <f t="shared" si="4"/>
        <v>10</v>
      </c>
      <c r="R12" s="59"/>
      <c r="S12" s="60"/>
      <c r="T12" s="186"/>
      <c r="U12" s="88">
        <f t="shared" si="5"/>
        <v>10</v>
      </c>
      <c r="V12" s="59">
        <v>32.49</v>
      </c>
      <c r="W12" s="60">
        <v>500</v>
      </c>
      <c r="X12" s="186"/>
      <c r="Y12" s="88">
        <f t="shared" si="6"/>
        <v>10</v>
      </c>
      <c r="Z12" s="59">
        <v>107.27</v>
      </c>
      <c r="AA12" s="60">
        <v>1755</v>
      </c>
      <c r="AB12" s="186"/>
      <c r="AC12" s="88">
        <f t="shared" si="7"/>
        <v>10</v>
      </c>
      <c r="AD12" s="59">
        <v>24.48</v>
      </c>
      <c r="AE12" s="60">
        <v>435</v>
      </c>
      <c r="AF12" s="186"/>
      <c r="AG12" s="88">
        <f t="shared" si="8"/>
        <v>10</v>
      </c>
      <c r="AH12" s="54">
        <v>45.92</v>
      </c>
      <c r="AI12" s="54">
        <v>920</v>
      </c>
      <c r="AJ12" s="186"/>
      <c r="AK12" s="88">
        <f t="shared" si="9"/>
        <v>10</v>
      </c>
      <c r="AL12" s="59">
        <v>31.45</v>
      </c>
      <c r="AM12" s="60">
        <v>420</v>
      </c>
      <c r="AN12" s="186"/>
      <c r="AO12" s="88">
        <f t="shared" si="10"/>
        <v>10</v>
      </c>
      <c r="AP12" s="59">
        <v>20.2</v>
      </c>
      <c r="AQ12" s="60">
        <v>30</v>
      </c>
      <c r="AR12" s="186"/>
      <c r="AS12" s="88">
        <f t="shared" si="11"/>
        <v>10</v>
      </c>
      <c r="AT12" s="59"/>
      <c r="AU12" s="60"/>
      <c r="AV12" s="186"/>
      <c r="AW12" s="73"/>
    </row>
    <row r="13" spans="1:49" s="54" customFormat="1" ht="11.25" x14ac:dyDescent="0.2">
      <c r="A13" s="86">
        <f t="shared" si="0"/>
        <v>11</v>
      </c>
      <c r="B13" s="59"/>
      <c r="C13" s="60"/>
      <c r="D13" s="186"/>
      <c r="E13" s="88">
        <f t="shared" si="1"/>
        <v>11</v>
      </c>
      <c r="F13" s="59"/>
      <c r="G13" s="60"/>
      <c r="H13" s="186"/>
      <c r="I13" s="88">
        <f t="shared" si="2"/>
        <v>11</v>
      </c>
      <c r="J13" s="59">
        <v>16.760000000000002</v>
      </c>
      <c r="K13" s="60">
        <v>30</v>
      </c>
      <c r="L13" s="186"/>
      <c r="M13" s="88">
        <f t="shared" si="3"/>
        <v>11</v>
      </c>
      <c r="N13" s="59"/>
      <c r="O13" s="60"/>
      <c r="P13" s="186"/>
      <c r="Q13" s="88">
        <f t="shared" si="4"/>
        <v>11</v>
      </c>
      <c r="R13" s="59">
        <v>17.010000000000002</v>
      </c>
      <c r="S13" s="60">
        <v>50</v>
      </c>
      <c r="T13" s="186"/>
      <c r="U13" s="88">
        <f t="shared" si="5"/>
        <v>11</v>
      </c>
      <c r="V13" s="59">
        <v>20.48</v>
      </c>
      <c r="W13" s="60">
        <v>10</v>
      </c>
      <c r="X13" s="186"/>
      <c r="Y13" s="88">
        <f t="shared" si="6"/>
        <v>11</v>
      </c>
      <c r="Z13" s="59"/>
      <c r="AA13" s="60"/>
      <c r="AB13" s="186"/>
      <c r="AC13" s="88">
        <f t="shared" si="7"/>
        <v>11</v>
      </c>
      <c r="AD13" s="59"/>
      <c r="AE13" s="60"/>
      <c r="AF13" s="186"/>
      <c r="AG13" s="88">
        <f t="shared" si="8"/>
        <v>11</v>
      </c>
      <c r="AH13" s="59">
        <v>53.45</v>
      </c>
      <c r="AI13" s="60">
        <v>350</v>
      </c>
      <c r="AJ13" s="186"/>
      <c r="AK13" s="88">
        <f t="shared" si="9"/>
        <v>11</v>
      </c>
      <c r="AL13" s="59">
        <v>36.08</v>
      </c>
      <c r="AM13" s="60">
        <v>300</v>
      </c>
      <c r="AN13" s="186"/>
      <c r="AO13" s="88">
        <f t="shared" si="10"/>
        <v>11</v>
      </c>
      <c r="AP13" s="59">
        <v>13</v>
      </c>
      <c r="AQ13" s="60">
        <v>20</v>
      </c>
      <c r="AR13" s="186"/>
      <c r="AS13" s="88">
        <f t="shared" si="11"/>
        <v>11</v>
      </c>
      <c r="AT13" s="59"/>
      <c r="AU13" s="60"/>
      <c r="AV13" s="186">
        <v>4.1666666666666664E-2</v>
      </c>
      <c r="AW13" s="73"/>
    </row>
    <row r="14" spans="1:49" s="54" customFormat="1" ht="11.25" x14ac:dyDescent="0.2">
      <c r="A14" s="86">
        <f t="shared" si="0"/>
        <v>12</v>
      </c>
      <c r="B14" s="59"/>
      <c r="C14" s="60"/>
      <c r="D14" s="186">
        <v>2.7777777777777776E-2</v>
      </c>
      <c r="E14" s="88">
        <f t="shared" si="1"/>
        <v>12</v>
      </c>
      <c r="F14" s="59"/>
      <c r="G14" s="60"/>
      <c r="H14" s="186">
        <v>2.4305555555555556E-2</v>
      </c>
      <c r="I14" s="88">
        <f t="shared" si="2"/>
        <v>12</v>
      </c>
      <c r="J14" s="59"/>
      <c r="K14" s="60"/>
      <c r="L14" s="186"/>
      <c r="M14" s="88">
        <f t="shared" si="3"/>
        <v>12</v>
      </c>
      <c r="N14" s="59"/>
      <c r="O14" s="60"/>
      <c r="P14" s="186"/>
      <c r="Q14" s="88">
        <f t="shared" si="4"/>
        <v>12</v>
      </c>
      <c r="R14" s="59"/>
      <c r="S14" s="60"/>
      <c r="T14" s="186"/>
      <c r="U14" s="88">
        <f t="shared" si="5"/>
        <v>12</v>
      </c>
      <c r="V14" s="59"/>
      <c r="W14" s="60"/>
      <c r="X14" s="186"/>
      <c r="Y14" s="88">
        <f t="shared" si="6"/>
        <v>12</v>
      </c>
      <c r="Z14" s="59"/>
      <c r="AA14" s="60"/>
      <c r="AB14" s="186"/>
      <c r="AC14" s="88">
        <f t="shared" si="7"/>
        <v>12</v>
      </c>
      <c r="AF14" s="186"/>
      <c r="AG14" s="88">
        <f t="shared" si="8"/>
        <v>12</v>
      </c>
      <c r="AH14" s="59">
        <v>18.899999999999999</v>
      </c>
      <c r="AI14" s="60">
        <v>138</v>
      </c>
      <c r="AJ14" s="186"/>
      <c r="AK14" s="88">
        <f t="shared" si="9"/>
        <v>12</v>
      </c>
      <c r="AL14" s="59"/>
      <c r="AM14" s="60"/>
      <c r="AN14" s="186"/>
      <c r="AO14" s="88">
        <f t="shared" si="10"/>
        <v>12</v>
      </c>
      <c r="AP14" s="59">
        <v>11.53</v>
      </c>
      <c r="AQ14" s="60">
        <v>30</v>
      </c>
      <c r="AR14" s="186"/>
      <c r="AS14" s="88">
        <f t="shared" si="11"/>
        <v>12</v>
      </c>
      <c r="AT14" s="59">
        <v>14</v>
      </c>
      <c r="AU14" s="60">
        <v>2</v>
      </c>
      <c r="AV14" s="186"/>
      <c r="AW14" s="73"/>
    </row>
    <row r="15" spans="1:49" s="54" customFormat="1" ht="11.25" x14ac:dyDescent="0.2">
      <c r="A15" s="86">
        <f t="shared" si="0"/>
        <v>13</v>
      </c>
      <c r="B15" s="59"/>
      <c r="C15" s="60"/>
      <c r="D15" s="186"/>
      <c r="E15" s="88">
        <f t="shared" si="1"/>
        <v>13</v>
      </c>
      <c r="F15" s="59"/>
      <c r="G15" s="60"/>
      <c r="H15" s="186">
        <v>4.1666666666666664E-2</v>
      </c>
      <c r="I15" s="88">
        <f t="shared" si="2"/>
        <v>13</v>
      </c>
      <c r="J15" s="59"/>
      <c r="K15" s="60"/>
      <c r="L15" s="186"/>
      <c r="M15" s="88">
        <f t="shared" si="3"/>
        <v>13</v>
      </c>
      <c r="N15" s="59"/>
      <c r="O15" s="60"/>
      <c r="P15" s="186"/>
      <c r="Q15" s="88">
        <f t="shared" si="4"/>
        <v>13</v>
      </c>
      <c r="R15" s="59">
        <v>11.4</v>
      </c>
      <c r="S15" s="60">
        <v>40</v>
      </c>
      <c r="T15" s="186"/>
      <c r="U15" s="88">
        <f t="shared" si="5"/>
        <v>13</v>
      </c>
      <c r="V15" s="59"/>
      <c r="W15" s="60"/>
      <c r="X15" s="186"/>
      <c r="Y15" s="88">
        <f t="shared" si="6"/>
        <v>13</v>
      </c>
      <c r="Z15" s="59">
        <v>38.32</v>
      </c>
      <c r="AA15" s="60">
        <v>50</v>
      </c>
      <c r="AB15" s="186"/>
      <c r="AC15" s="88">
        <f t="shared" si="7"/>
        <v>13</v>
      </c>
      <c r="AD15" s="59">
        <v>29.96</v>
      </c>
      <c r="AE15" s="60">
        <v>173</v>
      </c>
      <c r="AF15" s="186"/>
      <c r="AG15" s="88">
        <f t="shared" si="8"/>
        <v>13</v>
      </c>
      <c r="AH15" s="59">
        <v>19.690000000000001</v>
      </c>
      <c r="AI15" s="60">
        <v>90</v>
      </c>
      <c r="AJ15" s="186"/>
      <c r="AK15" s="88">
        <f t="shared" si="9"/>
        <v>13</v>
      </c>
      <c r="AL15" s="59"/>
      <c r="AM15" s="60"/>
      <c r="AN15" s="186"/>
      <c r="AO15" s="88">
        <f t="shared" si="10"/>
        <v>13</v>
      </c>
      <c r="AP15" s="59">
        <v>10.6</v>
      </c>
      <c r="AQ15" s="60">
        <v>310</v>
      </c>
      <c r="AR15" s="186"/>
      <c r="AS15" s="88">
        <f t="shared" si="11"/>
        <v>13</v>
      </c>
      <c r="AT15" s="59">
        <v>13.36</v>
      </c>
      <c r="AU15" s="60">
        <v>81</v>
      </c>
      <c r="AV15" s="186"/>
      <c r="AW15" s="73"/>
    </row>
    <row r="16" spans="1:49" s="54" customFormat="1" ht="11.25" x14ac:dyDescent="0.2">
      <c r="A16" s="86">
        <f t="shared" si="0"/>
        <v>14</v>
      </c>
      <c r="B16" s="59"/>
      <c r="C16" s="60"/>
      <c r="D16" s="186"/>
      <c r="E16" s="88">
        <f t="shared" si="1"/>
        <v>14</v>
      </c>
      <c r="F16" s="59"/>
      <c r="G16" s="60"/>
      <c r="H16" s="186"/>
      <c r="I16" s="88">
        <f t="shared" si="2"/>
        <v>14</v>
      </c>
      <c r="J16" s="59"/>
      <c r="K16" s="60"/>
      <c r="L16" s="186"/>
      <c r="M16" s="88">
        <f t="shared" si="3"/>
        <v>14</v>
      </c>
      <c r="N16" s="59">
        <v>16.260000000000002</v>
      </c>
      <c r="O16" s="60">
        <v>20</v>
      </c>
      <c r="P16" s="186"/>
      <c r="Q16" s="88">
        <f t="shared" si="4"/>
        <v>14</v>
      </c>
      <c r="T16" s="186"/>
      <c r="U16" s="88">
        <f t="shared" si="5"/>
        <v>14</v>
      </c>
      <c r="V16" s="59">
        <v>34.57</v>
      </c>
      <c r="W16" s="60">
        <v>80</v>
      </c>
      <c r="X16" s="186"/>
      <c r="Y16" s="88">
        <f t="shared" si="6"/>
        <v>14</v>
      </c>
      <c r="Z16" s="59"/>
      <c r="AA16" s="60"/>
      <c r="AB16" s="186"/>
      <c r="AC16" s="88">
        <f t="shared" si="7"/>
        <v>14</v>
      </c>
      <c r="AD16" s="59"/>
      <c r="AE16" s="60"/>
      <c r="AF16" s="186"/>
      <c r="AG16" s="88">
        <f t="shared" si="8"/>
        <v>14</v>
      </c>
      <c r="AH16" s="59"/>
      <c r="AI16" s="60"/>
      <c r="AJ16" s="186"/>
      <c r="AK16" s="88">
        <f t="shared" si="9"/>
        <v>14</v>
      </c>
      <c r="AL16" s="59"/>
      <c r="AM16" s="60"/>
      <c r="AN16" s="186"/>
      <c r="AO16" s="88">
        <f t="shared" si="10"/>
        <v>14</v>
      </c>
      <c r="AP16" s="59">
        <v>15.6</v>
      </c>
      <c r="AQ16" s="60">
        <v>40</v>
      </c>
      <c r="AR16" s="186"/>
      <c r="AS16" s="88">
        <f t="shared" si="11"/>
        <v>14</v>
      </c>
      <c r="AT16" s="59"/>
      <c r="AU16" s="60"/>
      <c r="AV16" s="186"/>
      <c r="AW16" s="73"/>
    </row>
    <row r="17" spans="1:49" s="54" customFormat="1" ht="11.25" x14ac:dyDescent="0.2">
      <c r="A17" s="86">
        <f t="shared" si="0"/>
        <v>15</v>
      </c>
      <c r="B17" s="59"/>
      <c r="C17" s="60"/>
      <c r="D17" s="186">
        <v>2.0833333333333332E-2</v>
      </c>
      <c r="E17" s="88">
        <f t="shared" si="1"/>
        <v>15</v>
      </c>
      <c r="F17" s="59">
        <v>30.36</v>
      </c>
      <c r="G17" s="60">
        <v>180</v>
      </c>
      <c r="H17" s="186">
        <v>5.2083333333333336E-2</v>
      </c>
      <c r="I17" s="88">
        <f t="shared" si="2"/>
        <v>15</v>
      </c>
      <c r="J17" s="59">
        <v>16.170000000000002</v>
      </c>
      <c r="K17" s="60">
        <v>10</v>
      </c>
      <c r="L17" s="186">
        <v>2.0833333333333332E-2</v>
      </c>
      <c r="M17" s="88">
        <f t="shared" si="3"/>
        <v>15</v>
      </c>
      <c r="N17" s="59">
        <v>21.78</v>
      </c>
      <c r="O17" s="60">
        <v>20</v>
      </c>
      <c r="P17" s="186"/>
      <c r="Q17" s="88">
        <f t="shared" si="4"/>
        <v>15</v>
      </c>
      <c r="T17" s="186"/>
      <c r="U17" s="88">
        <f t="shared" si="5"/>
        <v>15</v>
      </c>
      <c r="V17" s="59">
        <v>48.39</v>
      </c>
      <c r="W17" s="60">
        <v>100</v>
      </c>
      <c r="X17" s="186"/>
      <c r="Y17" s="88">
        <f t="shared" si="6"/>
        <v>15</v>
      </c>
      <c r="Z17" s="59"/>
      <c r="AA17" s="60"/>
      <c r="AB17" s="186"/>
      <c r="AC17" s="88">
        <f t="shared" si="7"/>
        <v>15</v>
      </c>
      <c r="AD17" s="59">
        <v>24.15</v>
      </c>
      <c r="AE17" s="60">
        <v>105</v>
      </c>
      <c r="AF17" s="186"/>
      <c r="AG17" s="88">
        <f t="shared" si="8"/>
        <v>15</v>
      </c>
      <c r="AH17" s="59">
        <v>16.7</v>
      </c>
      <c r="AI17" s="60">
        <v>80</v>
      </c>
      <c r="AJ17" s="186"/>
      <c r="AK17" s="88">
        <f t="shared" si="9"/>
        <v>15</v>
      </c>
      <c r="AL17" s="59">
        <v>21</v>
      </c>
      <c r="AM17" s="60">
        <v>132</v>
      </c>
      <c r="AN17" s="186"/>
      <c r="AO17" s="88">
        <f t="shared" si="10"/>
        <v>15</v>
      </c>
      <c r="AP17" s="59"/>
      <c r="AQ17" s="60"/>
      <c r="AR17" s="186"/>
      <c r="AS17" s="88">
        <f t="shared" si="11"/>
        <v>15</v>
      </c>
      <c r="AT17" s="59"/>
      <c r="AU17" s="60"/>
      <c r="AV17" s="186"/>
      <c r="AW17" s="73"/>
    </row>
    <row r="18" spans="1:49" s="54" customFormat="1" ht="11.25" x14ac:dyDescent="0.2">
      <c r="A18" s="86">
        <f t="shared" si="0"/>
        <v>16</v>
      </c>
      <c r="B18" s="59">
        <v>20.190000000000001</v>
      </c>
      <c r="C18" s="60">
        <v>120</v>
      </c>
      <c r="D18" s="186"/>
      <c r="E18" s="88">
        <f t="shared" si="1"/>
        <v>16</v>
      </c>
      <c r="F18" s="59">
        <v>10.11</v>
      </c>
      <c r="G18" s="60">
        <v>80</v>
      </c>
      <c r="H18" s="186">
        <v>4.1666666666666664E-2</v>
      </c>
      <c r="I18" s="88">
        <f t="shared" si="2"/>
        <v>16</v>
      </c>
      <c r="J18" s="59">
        <v>18.18</v>
      </c>
      <c r="K18" s="60">
        <v>20</v>
      </c>
      <c r="L18" s="186"/>
      <c r="M18" s="88">
        <f t="shared" si="3"/>
        <v>16</v>
      </c>
      <c r="N18" s="59">
        <v>28.27</v>
      </c>
      <c r="O18" s="60">
        <v>104</v>
      </c>
      <c r="P18" s="186"/>
      <c r="Q18" s="88">
        <f t="shared" si="4"/>
        <v>16</v>
      </c>
      <c r="R18" s="59">
        <v>34.17</v>
      </c>
      <c r="S18" s="60">
        <v>615</v>
      </c>
      <c r="T18" s="186"/>
      <c r="U18" s="88">
        <f t="shared" si="5"/>
        <v>16</v>
      </c>
      <c r="V18" s="59">
        <v>24.91</v>
      </c>
      <c r="W18" s="60">
        <v>578</v>
      </c>
      <c r="X18" s="186"/>
      <c r="Y18" s="88">
        <f t="shared" si="6"/>
        <v>16</v>
      </c>
      <c r="Z18" s="59"/>
      <c r="AA18" s="60"/>
      <c r="AB18" s="186"/>
      <c r="AC18" s="88">
        <f t="shared" si="7"/>
        <v>16</v>
      </c>
      <c r="AD18" s="59">
        <v>11.13</v>
      </c>
      <c r="AE18" s="60">
        <v>10</v>
      </c>
      <c r="AF18" s="186"/>
      <c r="AG18" s="88">
        <f t="shared" si="8"/>
        <v>16</v>
      </c>
      <c r="AH18" s="59"/>
      <c r="AI18" s="60"/>
      <c r="AJ18" s="186"/>
      <c r="AK18" s="88">
        <f t="shared" si="9"/>
        <v>16</v>
      </c>
      <c r="AL18" s="59"/>
      <c r="AM18" s="60"/>
      <c r="AN18" s="186"/>
      <c r="AO18" s="88">
        <f t="shared" si="10"/>
        <v>16</v>
      </c>
      <c r="AP18" s="59"/>
      <c r="AQ18" s="60"/>
      <c r="AR18" s="186"/>
      <c r="AS18" s="88">
        <f t="shared" si="11"/>
        <v>16</v>
      </c>
      <c r="AT18" s="59"/>
      <c r="AU18" s="60"/>
      <c r="AV18" s="186"/>
      <c r="AW18" s="73"/>
    </row>
    <row r="19" spans="1:49" s="54" customFormat="1" ht="11.25" x14ac:dyDescent="0.2">
      <c r="A19" s="86">
        <f t="shared" si="0"/>
        <v>17</v>
      </c>
      <c r="B19" s="59"/>
      <c r="C19" s="60"/>
      <c r="D19" s="186">
        <v>8.3333333333333329E-2</v>
      </c>
      <c r="E19" s="88">
        <f t="shared" si="1"/>
        <v>17</v>
      </c>
      <c r="F19" s="59"/>
      <c r="G19" s="60"/>
      <c r="H19" s="186"/>
      <c r="I19" s="88">
        <f t="shared" si="2"/>
        <v>17</v>
      </c>
      <c r="J19" s="59"/>
      <c r="K19" s="60"/>
      <c r="L19" s="186">
        <v>2.0833333333333332E-2</v>
      </c>
      <c r="M19" s="88">
        <f t="shared" si="3"/>
        <v>17</v>
      </c>
      <c r="N19" s="59">
        <v>45.12</v>
      </c>
      <c r="O19" s="60">
        <v>1456</v>
      </c>
      <c r="P19" s="186"/>
      <c r="Q19" s="88">
        <f t="shared" si="4"/>
        <v>17</v>
      </c>
      <c r="R19" s="59">
        <v>38.700000000000003</v>
      </c>
      <c r="S19" s="60">
        <v>440</v>
      </c>
      <c r="T19" s="186"/>
      <c r="U19" s="88">
        <f t="shared" si="5"/>
        <v>17</v>
      </c>
      <c r="V19" s="59"/>
      <c r="W19" s="60"/>
      <c r="X19" s="186"/>
      <c r="Y19" s="88">
        <f t="shared" si="6"/>
        <v>17</v>
      </c>
      <c r="Z19" s="59"/>
      <c r="AA19" s="60"/>
      <c r="AB19" s="186"/>
      <c r="AC19" s="88">
        <f t="shared" si="7"/>
        <v>17</v>
      </c>
      <c r="AD19" s="59">
        <v>23.24</v>
      </c>
      <c r="AE19" s="60">
        <v>50</v>
      </c>
      <c r="AF19" s="186"/>
      <c r="AG19" s="88">
        <f t="shared" si="8"/>
        <v>17</v>
      </c>
      <c r="AH19" s="59">
        <v>26.4</v>
      </c>
      <c r="AI19" s="60">
        <v>129</v>
      </c>
      <c r="AJ19" s="186"/>
      <c r="AK19" s="88">
        <f t="shared" si="9"/>
        <v>17</v>
      </c>
      <c r="AL19" s="59">
        <v>13.5</v>
      </c>
      <c r="AM19" s="60">
        <v>10</v>
      </c>
      <c r="AN19" s="186"/>
      <c r="AO19" s="88">
        <f t="shared" si="10"/>
        <v>17</v>
      </c>
      <c r="AP19" s="59">
        <v>11.7</v>
      </c>
      <c r="AQ19" s="60">
        <v>16</v>
      </c>
      <c r="AR19" s="186"/>
      <c r="AS19" s="88">
        <f t="shared" si="11"/>
        <v>17</v>
      </c>
      <c r="AT19" s="59"/>
      <c r="AU19" s="60"/>
      <c r="AV19" s="186">
        <v>2.4305555555555556E-2</v>
      </c>
      <c r="AW19" s="73"/>
    </row>
    <row r="20" spans="1:49" s="54" customFormat="1" ht="11.25" x14ac:dyDescent="0.2">
      <c r="A20" s="86">
        <f t="shared" si="0"/>
        <v>18</v>
      </c>
      <c r="B20" s="59">
        <v>17.95</v>
      </c>
      <c r="C20" s="60">
        <v>20</v>
      </c>
      <c r="D20" s="186"/>
      <c r="E20" s="88">
        <f t="shared" si="1"/>
        <v>18</v>
      </c>
      <c r="F20" s="59">
        <v>5.15</v>
      </c>
      <c r="G20" s="60">
        <v>25</v>
      </c>
      <c r="H20" s="186"/>
      <c r="I20" s="88">
        <f t="shared" si="2"/>
        <v>18</v>
      </c>
      <c r="J20" s="59">
        <v>21.38</v>
      </c>
      <c r="K20" s="60">
        <v>172</v>
      </c>
      <c r="L20" s="186"/>
      <c r="M20" s="88">
        <f t="shared" si="3"/>
        <v>18</v>
      </c>
      <c r="N20" s="59"/>
      <c r="O20" s="60"/>
      <c r="P20" s="186"/>
      <c r="Q20" s="88">
        <f t="shared" si="4"/>
        <v>18</v>
      </c>
      <c r="R20" s="59">
        <v>14.81</v>
      </c>
      <c r="S20" s="60">
        <v>10</v>
      </c>
      <c r="T20" s="186"/>
      <c r="U20" s="88">
        <f t="shared" si="5"/>
        <v>18</v>
      </c>
      <c r="V20" s="59"/>
      <c r="W20" s="60"/>
      <c r="X20" s="186">
        <v>4.1666666666666664E-2</v>
      </c>
      <c r="Y20" s="88">
        <f t="shared" si="6"/>
        <v>18</v>
      </c>
      <c r="Z20" s="59"/>
      <c r="AA20" s="60"/>
      <c r="AB20" s="186"/>
      <c r="AC20" s="88">
        <f t="shared" si="7"/>
        <v>18</v>
      </c>
      <c r="AD20" s="59">
        <v>22.7</v>
      </c>
      <c r="AE20" s="60">
        <v>55</v>
      </c>
      <c r="AF20" s="186"/>
      <c r="AG20" s="88">
        <f t="shared" si="8"/>
        <v>18</v>
      </c>
      <c r="AH20" s="59">
        <v>24.4</v>
      </c>
      <c r="AI20" s="60">
        <v>90</v>
      </c>
      <c r="AJ20" s="186"/>
      <c r="AK20" s="88">
        <f t="shared" si="9"/>
        <v>18</v>
      </c>
      <c r="AL20" s="59">
        <v>12.9</v>
      </c>
      <c r="AM20" s="60">
        <v>40</v>
      </c>
      <c r="AN20" s="186"/>
      <c r="AO20" s="88">
        <f t="shared" si="10"/>
        <v>18</v>
      </c>
      <c r="AP20" s="59"/>
      <c r="AQ20" s="60"/>
      <c r="AR20" s="186"/>
      <c r="AS20" s="88">
        <f t="shared" si="11"/>
        <v>18</v>
      </c>
      <c r="AT20" s="59"/>
      <c r="AU20" s="60"/>
      <c r="AV20" s="186">
        <v>4.1666666666666664E-2</v>
      </c>
      <c r="AW20" s="73"/>
    </row>
    <row r="21" spans="1:49" s="54" customFormat="1" ht="11.25" x14ac:dyDescent="0.2">
      <c r="A21" s="86">
        <f t="shared" si="0"/>
        <v>19</v>
      </c>
      <c r="B21" s="59"/>
      <c r="C21" s="60"/>
      <c r="D21" s="186"/>
      <c r="E21" s="88">
        <f t="shared" si="1"/>
        <v>19</v>
      </c>
      <c r="F21" s="59"/>
      <c r="G21" s="60"/>
      <c r="H21" s="186"/>
      <c r="I21" s="88">
        <f t="shared" si="2"/>
        <v>19</v>
      </c>
      <c r="J21" s="59"/>
      <c r="K21" s="60"/>
      <c r="L21" s="186"/>
      <c r="M21" s="88">
        <f t="shared" si="3"/>
        <v>19</v>
      </c>
      <c r="N21" s="59">
        <v>24.67</v>
      </c>
      <c r="O21" s="60">
        <v>150</v>
      </c>
      <c r="P21" s="186"/>
      <c r="Q21" s="88">
        <f t="shared" si="4"/>
        <v>19</v>
      </c>
      <c r="R21" s="59"/>
      <c r="S21" s="60"/>
      <c r="T21" s="186">
        <v>2.4305555555555556E-2</v>
      </c>
      <c r="U21" s="88">
        <f t="shared" si="5"/>
        <v>19</v>
      </c>
      <c r="V21" s="59">
        <v>22.83</v>
      </c>
      <c r="W21" s="60">
        <v>172</v>
      </c>
      <c r="X21" s="186"/>
      <c r="Y21" s="88">
        <f t="shared" si="6"/>
        <v>19</v>
      </c>
      <c r="Z21" s="59"/>
      <c r="AA21" s="60"/>
      <c r="AB21" s="186"/>
      <c r="AC21" s="88">
        <f t="shared" si="7"/>
        <v>19</v>
      </c>
      <c r="AD21" s="59">
        <v>24.99</v>
      </c>
      <c r="AE21" s="60">
        <v>336</v>
      </c>
      <c r="AF21" s="186"/>
      <c r="AG21" s="88">
        <f t="shared" si="8"/>
        <v>19</v>
      </c>
      <c r="AH21" s="59">
        <v>39.229999999999997</v>
      </c>
      <c r="AI21" s="60">
        <v>95</v>
      </c>
      <c r="AJ21" s="186"/>
      <c r="AK21" s="88">
        <f t="shared" si="9"/>
        <v>19</v>
      </c>
      <c r="AL21" s="59"/>
      <c r="AM21" s="60"/>
      <c r="AN21" s="186"/>
      <c r="AO21" s="88">
        <f t="shared" si="10"/>
        <v>19</v>
      </c>
      <c r="AP21" s="59"/>
      <c r="AQ21" s="60"/>
      <c r="AR21" s="186"/>
      <c r="AS21" s="88">
        <f t="shared" si="11"/>
        <v>19</v>
      </c>
      <c r="AT21" s="59"/>
      <c r="AU21" s="60"/>
      <c r="AV21" s="186"/>
      <c r="AW21" s="73"/>
    </row>
    <row r="22" spans="1:49" s="54" customFormat="1" ht="11.25" x14ac:dyDescent="0.2">
      <c r="A22" s="86">
        <f t="shared" si="0"/>
        <v>20</v>
      </c>
      <c r="B22" s="59">
        <v>16.39</v>
      </c>
      <c r="C22" s="60">
        <v>10</v>
      </c>
      <c r="D22" s="186"/>
      <c r="E22" s="88">
        <f t="shared" si="1"/>
        <v>20</v>
      </c>
      <c r="F22" s="59">
        <v>11.5</v>
      </c>
      <c r="G22" s="60">
        <v>153</v>
      </c>
      <c r="H22" s="186"/>
      <c r="I22" s="88">
        <f t="shared" si="2"/>
        <v>20</v>
      </c>
      <c r="J22" s="59">
        <v>19.8</v>
      </c>
      <c r="K22" s="60">
        <v>105</v>
      </c>
      <c r="L22" s="186"/>
      <c r="M22" s="88">
        <f t="shared" si="3"/>
        <v>20</v>
      </c>
      <c r="N22" s="59">
        <v>28.9</v>
      </c>
      <c r="O22" s="60">
        <v>30</v>
      </c>
      <c r="P22" s="186"/>
      <c r="Q22" s="88">
        <f t="shared" si="4"/>
        <v>20</v>
      </c>
      <c r="R22" s="59"/>
      <c r="S22" s="60"/>
      <c r="T22" s="186"/>
      <c r="U22" s="88">
        <f t="shared" si="5"/>
        <v>20</v>
      </c>
      <c r="V22" s="59">
        <v>18.05</v>
      </c>
      <c r="W22" s="60">
        <v>35</v>
      </c>
      <c r="X22" s="186"/>
      <c r="Y22" s="88">
        <f t="shared" si="6"/>
        <v>20</v>
      </c>
      <c r="Z22" s="59">
        <v>13.97</v>
      </c>
      <c r="AA22" s="60">
        <v>15</v>
      </c>
      <c r="AB22" s="186"/>
      <c r="AC22" s="88">
        <f t="shared" si="7"/>
        <v>20</v>
      </c>
      <c r="AD22" s="59">
        <v>16.059999999999999</v>
      </c>
      <c r="AE22" s="60">
        <v>70</v>
      </c>
      <c r="AF22" s="186"/>
      <c r="AG22" s="88">
        <f t="shared" si="8"/>
        <v>20</v>
      </c>
      <c r="AH22" s="59">
        <v>27.5</v>
      </c>
      <c r="AI22" s="60">
        <v>355</v>
      </c>
      <c r="AJ22" s="186"/>
      <c r="AK22" s="88">
        <f t="shared" si="9"/>
        <v>20</v>
      </c>
      <c r="AL22" s="59"/>
      <c r="AM22" s="60"/>
      <c r="AN22" s="186"/>
      <c r="AO22" s="88">
        <f t="shared" si="10"/>
        <v>20</v>
      </c>
      <c r="AP22" s="59">
        <v>27.06</v>
      </c>
      <c r="AQ22" s="60">
        <v>155</v>
      </c>
      <c r="AR22" s="186"/>
      <c r="AS22" s="88">
        <f t="shared" si="11"/>
        <v>20</v>
      </c>
      <c r="AT22" s="59"/>
      <c r="AU22" s="60"/>
      <c r="AV22" s="186">
        <v>4.1666666666666664E-2</v>
      </c>
      <c r="AW22" s="73"/>
    </row>
    <row r="23" spans="1:49" s="54" customFormat="1" ht="11.25" x14ac:dyDescent="0.2">
      <c r="A23" s="86">
        <f t="shared" si="0"/>
        <v>21</v>
      </c>
      <c r="B23" s="59"/>
      <c r="C23" s="60"/>
      <c r="D23" s="186"/>
      <c r="E23" s="88">
        <f t="shared" si="1"/>
        <v>21</v>
      </c>
      <c r="F23" s="59"/>
      <c r="G23" s="60"/>
      <c r="H23" s="186">
        <v>9.0277777777777776E-2</v>
      </c>
      <c r="I23" s="88">
        <f t="shared" si="2"/>
        <v>21</v>
      </c>
      <c r="J23" s="59">
        <v>24.83</v>
      </c>
      <c r="K23" s="60">
        <v>210</v>
      </c>
      <c r="L23" s="186"/>
      <c r="M23" s="88">
        <f t="shared" si="3"/>
        <v>21</v>
      </c>
      <c r="N23" s="59"/>
      <c r="O23" s="60"/>
      <c r="P23" s="186"/>
      <c r="Q23" s="88">
        <f t="shared" si="4"/>
        <v>21</v>
      </c>
      <c r="R23" s="59"/>
      <c r="S23" s="60"/>
      <c r="T23" s="186"/>
      <c r="U23" s="88">
        <f t="shared" si="5"/>
        <v>21</v>
      </c>
      <c r="V23" s="59">
        <v>29.59</v>
      </c>
      <c r="W23" s="60">
        <v>195</v>
      </c>
      <c r="X23" s="186"/>
      <c r="Y23" s="88">
        <f t="shared" si="6"/>
        <v>21</v>
      </c>
      <c r="Z23" s="59">
        <v>19.350000000000001</v>
      </c>
      <c r="AA23" s="60">
        <v>20</v>
      </c>
      <c r="AB23" s="186"/>
      <c r="AC23" s="88">
        <f t="shared" si="7"/>
        <v>21</v>
      </c>
      <c r="AD23" s="59"/>
      <c r="AE23" s="60"/>
      <c r="AF23" s="186"/>
      <c r="AG23" s="88">
        <f t="shared" si="8"/>
        <v>21</v>
      </c>
      <c r="AH23" s="59">
        <v>12.5</v>
      </c>
      <c r="AI23" s="60">
        <v>15</v>
      </c>
      <c r="AJ23" s="186"/>
      <c r="AK23" s="88">
        <f t="shared" si="9"/>
        <v>21</v>
      </c>
      <c r="AL23" s="59"/>
      <c r="AM23" s="60"/>
      <c r="AN23" s="186"/>
      <c r="AO23" s="88">
        <f t="shared" si="10"/>
        <v>21</v>
      </c>
      <c r="AP23" s="59">
        <v>16</v>
      </c>
      <c r="AQ23" s="60">
        <v>180</v>
      </c>
      <c r="AR23" s="186"/>
      <c r="AS23" s="88">
        <f t="shared" si="11"/>
        <v>21</v>
      </c>
      <c r="AT23" s="59"/>
      <c r="AU23" s="60"/>
      <c r="AV23" s="186"/>
      <c r="AW23" s="73"/>
    </row>
    <row r="24" spans="1:49" s="54" customFormat="1" ht="11.25" x14ac:dyDescent="0.2">
      <c r="A24" s="86">
        <f t="shared" si="0"/>
        <v>22</v>
      </c>
      <c r="B24" s="59"/>
      <c r="C24" s="60"/>
      <c r="D24" s="186"/>
      <c r="E24" s="88">
        <f t="shared" si="1"/>
        <v>22</v>
      </c>
      <c r="F24" s="59">
        <v>16.2</v>
      </c>
      <c r="G24" s="60">
        <v>6</v>
      </c>
      <c r="H24" s="186"/>
      <c r="I24" s="88">
        <f t="shared" si="2"/>
        <v>22</v>
      </c>
      <c r="J24" s="59">
        <v>23.57</v>
      </c>
      <c r="K24" s="60">
        <v>362</v>
      </c>
      <c r="L24" s="186"/>
      <c r="M24" s="88">
        <f t="shared" si="3"/>
        <v>22</v>
      </c>
      <c r="N24" s="59">
        <v>8.5</v>
      </c>
      <c r="O24" s="60">
        <v>2</v>
      </c>
      <c r="P24" s="186"/>
      <c r="Q24" s="88">
        <f t="shared" si="4"/>
        <v>22</v>
      </c>
      <c r="R24" s="54">
        <v>125.31</v>
      </c>
      <c r="S24" s="54">
        <v>1731</v>
      </c>
      <c r="T24" s="186"/>
      <c r="U24" s="88">
        <f t="shared" si="5"/>
        <v>22</v>
      </c>
      <c r="V24" s="59">
        <v>21.39</v>
      </c>
      <c r="W24" s="60">
        <v>620</v>
      </c>
      <c r="X24" s="186"/>
      <c r="Y24" s="88">
        <f t="shared" si="6"/>
        <v>22</v>
      </c>
      <c r="Z24" s="59"/>
      <c r="AA24" s="60"/>
      <c r="AB24" s="186"/>
      <c r="AC24" s="88">
        <f t="shared" si="7"/>
        <v>22</v>
      </c>
      <c r="AD24" s="59"/>
      <c r="AE24" s="60"/>
      <c r="AF24" s="186"/>
      <c r="AG24" s="88">
        <f t="shared" si="8"/>
        <v>22</v>
      </c>
      <c r="AH24" s="59">
        <v>37.799999999999997</v>
      </c>
      <c r="AI24" s="60">
        <v>376</v>
      </c>
      <c r="AJ24" s="186"/>
      <c r="AK24" s="88">
        <f t="shared" si="9"/>
        <v>22</v>
      </c>
      <c r="AL24" s="59">
        <v>18</v>
      </c>
      <c r="AM24" s="60">
        <v>65</v>
      </c>
      <c r="AN24" s="186"/>
      <c r="AO24" s="88">
        <f t="shared" si="10"/>
        <v>22</v>
      </c>
      <c r="AP24" s="59"/>
      <c r="AQ24" s="60"/>
      <c r="AR24" s="186"/>
      <c r="AS24" s="88">
        <f t="shared" si="11"/>
        <v>22</v>
      </c>
      <c r="AT24" s="59"/>
      <c r="AU24" s="60"/>
      <c r="AV24" s="186"/>
      <c r="AW24" s="73"/>
    </row>
    <row r="25" spans="1:49" s="54" customFormat="1" ht="11.25" x14ac:dyDescent="0.2">
      <c r="A25" s="86">
        <f t="shared" si="0"/>
        <v>23</v>
      </c>
      <c r="B25" s="59">
        <v>35</v>
      </c>
      <c r="C25" s="60">
        <v>435</v>
      </c>
      <c r="D25" s="186"/>
      <c r="E25" s="88">
        <f t="shared" si="1"/>
        <v>23</v>
      </c>
      <c r="F25" s="59"/>
      <c r="G25" s="60"/>
      <c r="H25" s="186">
        <v>5.5555555555555552E-2</v>
      </c>
      <c r="I25" s="88">
        <f t="shared" si="2"/>
        <v>23</v>
      </c>
      <c r="J25" s="59">
        <v>11.51</v>
      </c>
      <c r="K25" s="60">
        <v>10</v>
      </c>
      <c r="L25" s="186"/>
      <c r="M25" s="88">
        <f t="shared" si="3"/>
        <v>23</v>
      </c>
      <c r="N25" s="59">
        <v>28.03</v>
      </c>
      <c r="O25" s="60">
        <v>195</v>
      </c>
      <c r="P25" s="186"/>
      <c r="Q25" s="88">
        <f t="shared" si="4"/>
        <v>23</v>
      </c>
      <c r="R25" s="59">
        <v>16.86</v>
      </c>
      <c r="S25" s="60">
        <v>55</v>
      </c>
      <c r="T25" s="186"/>
      <c r="U25" s="88">
        <f t="shared" si="5"/>
        <v>23</v>
      </c>
      <c r="V25" s="59">
        <v>54.67</v>
      </c>
      <c r="W25" s="60">
        <v>614</v>
      </c>
      <c r="X25" s="186"/>
      <c r="Y25" s="88">
        <f t="shared" si="6"/>
        <v>23</v>
      </c>
      <c r="Z25" s="59">
        <v>19.03</v>
      </c>
      <c r="AA25" s="60">
        <v>15</v>
      </c>
      <c r="AB25" s="186"/>
      <c r="AC25" s="88">
        <f t="shared" si="7"/>
        <v>23</v>
      </c>
      <c r="AD25" s="59">
        <v>12</v>
      </c>
      <c r="AE25" s="60">
        <v>2</v>
      </c>
      <c r="AF25" s="186"/>
      <c r="AG25" s="88">
        <f t="shared" si="8"/>
        <v>23</v>
      </c>
      <c r="AH25" s="59">
        <v>12.3</v>
      </c>
      <c r="AI25" s="60">
        <v>50</v>
      </c>
      <c r="AJ25" s="186"/>
      <c r="AK25" s="88">
        <f t="shared" si="9"/>
        <v>23</v>
      </c>
      <c r="AL25" s="59">
        <v>15.4</v>
      </c>
      <c r="AM25" s="60">
        <v>50</v>
      </c>
      <c r="AN25" s="186"/>
      <c r="AO25" s="88">
        <f t="shared" si="10"/>
        <v>23</v>
      </c>
      <c r="AP25" s="59">
        <v>10</v>
      </c>
      <c r="AQ25" s="60">
        <v>2</v>
      </c>
      <c r="AR25" s="186"/>
      <c r="AS25" s="88">
        <f t="shared" si="11"/>
        <v>23</v>
      </c>
      <c r="AT25" s="59"/>
      <c r="AU25" s="60"/>
      <c r="AV25" s="186"/>
      <c r="AW25" s="73"/>
    </row>
    <row r="26" spans="1:49" s="54" customFormat="1" ht="11.25" x14ac:dyDescent="0.2">
      <c r="A26" s="86">
        <f t="shared" si="0"/>
        <v>24</v>
      </c>
      <c r="B26" s="59"/>
      <c r="C26" s="60"/>
      <c r="D26" s="186">
        <v>2.0833333333333332E-2</v>
      </c>
      <c r="E26" s="88">
        <f t="shared" si="1"/>
        <v>24</v>
      </c>
      <c r="F26" s="59">
        <v>18.38</v>
      </c>
      <c r="G26" s="60">
        <v>145</v>
      </c>
      <c r="H26" s="186"/>
      <c r="I26" s="88">
        <f t="shared" si="2"/>
        <v>24</v>
      </c>
      <c r="J26" s="59">
        <v>38.89</v>
      </c>
      <c r="K26" s="60">
        <v>570</v>
      </c>
      <c r="L26" s="186"/>
      <c r="M26" s="88">
        <f t="shared" si="3"/>
        <v>24</v>
      </c>
      <c r="N26" s="59">
        <v>78.37</v>
      </c>
      <c r="O26" s="60">
        <v>976</v>
      </c>
      <c r="P26" s="186"/>
      <c r="Q26" s="88">
        <f t="shared" si="4"/>
        <v>24</v>
      </c>
      <c r="R26" s="59">
        <v>34.200000000000003</v>
      </c>
      <c r="S26" s="60">
        <v>173</v>
      </c>
      <c r="T26" s="186"/>
      <c r="U26" s="88">
        <f t="shared" si="5"/>
        <v>24</v>
      </c>
      <c r="V26" s="59">
        <v>37.61</v>
      </c>
      <c r="W26" s="60">
        <v>530</v>
      </c>
      <c r="X26" s="186"/>
      <c r="Y26" s="88">
        <f t="shared" si="6"/>
        <v>24</v>
      </c>
      <c r="Z26" s="59"/>
      <c r="AA26" s="60"/>
      <c r="AB26" s="186"/>
      <c r="AC26" s="88">
        <f t="shared" si="7"/>
        <v>24</v>
      </c>
      <c r="AD26" s="59">
        <v>25.6</v>
      </c>
      <c r="AE26" s="60">
        <v>135</v>
      </c>
      <c r="AF26" s="186"/>
      <c r="AG26" s="88">
        <f t="shared" si="8"/>
        <v>24</v>
      </c>
      <c r="AH26" s="59"/>
      <c r="AI26" s="60"/>
      <c r="AJ26" s="186"/>
      <c r="AK26" s="88">
        <f t="shared" si="9"/>
        <v>24</v>
      </c>
      <c r="AL26" s="59"/>
      <c r="AM26" s="60"/>
      <c r="AN26" s="186"/>
      <c r="AO26" s="88">
        <f t="shared" si="10"/>
        <v>24</v>
      </c>
      <c r="AP26" s="59">
        <v>14.68</v>
      </c>
      <c r="AQ26" s="60">
        <v>41</v>
      </c>
      <c r="AR26" s="186"/>
      <c r="AS26" s="88">
        <f t="shared" si="11"/>
        <v>24</v>
      </c>
      <c r="AT26" s="59"/>
      <c r="AU26" s="60"/>
      <c r="AV26" s="186">
        <v>2.7777777777777776E-2</v>
      </c>
      <c r="AW26" s="73"/>
    </row>
    <row r="27" spans="1:49" s="54" customFormat="1" ht="11.25" x14ac:dyDescent="0.2">
      <c r="A27" s="86">
        <f t="shared" si="0"/>
        <v>25</v>
      </c>
      <c r="B27" s="59"/>
      <c r="C27" s="60"/>
      <c r="D27" s="186"/>
      <c r="E27" s="88">
        <f t="shared" si="1"/>
        <v>25</v>
      </c>
      <c r="F27" s="59"/>
      <c r="G27" s="60"/>
      <c r="H27" s="186"/>
      <c r="I27" s="88">
        <f t="shared" si="2"/>
        <v>25</v>
      </c>
      <c r="J27" s="59">
        <v>27.23</v>
      </c>
      <c r="K27" s="60">
        <v>364</v>
      </c>
      <c r="L27" s="186"/>
      <c r="M27" s="88">
        <f t="shared" si="3"/>
        <v>25</v>
      </c>
      <c r="N27" s="59">
        <v>34</v>
      </c>
      <c r="O27" s="60">
        <v>750</v>
      </c>
      <c r="P27" s="186"/>
      <c r="Q27" s="88">
        <f t="shared" si="4"/>
        <v>25</v>
      </c>
      <c r="R27" s="59">
        <v>8.8699999999999992</v>
      </c>
      <c r="S27" s="60">
        <v>5</v>
      </c>
      <c r="T27" s="186"/>
      <c r="U27" s="88">
        <f t="shared" si="5"/>
        <v>25</v>
      </c>
      <c r="V27" s="59">
        <v>16.850000000000001</v>
      </c>
      <c r="W27" s="60">
        <v>536</v>
      </c>
      <c r="X27" s="186"/>
      <c r="Y27" s="88">
        <f t="shared" si="6"/>
        <v>25</v>
      </c>
      <c r="Z27" s="59">
        <v>75.37</v>
      </c>
      <c r="AA27" s="60">
        <v>2170</v>
      </c>
      <c r="AB27" s="186"/>
      <c r="AC27" s="88">
        <f t="shared" si="7"/>
        <v>25</v>
      </c>
      <c r="AD27" s="59"/>
      <c r="AE27" s="60"/>
      <c r="AF27" s="186"/>
      <c r="AG27" s="88">
        <f t="shared" si="8"/>
        <v>25</v>
      </c>
      <c r="AH27" s="59"/>
      <c r="AI27" s="60"/>
      <c r="AJ27" s="186"/>
      <c r="AK27" s="88">
        <f t="shared" si="9"/>
        <v>25</v>
      </c>
      <c r="AL27" s="59">
        <v>20.05</v>
      </c>
      <c r="AM27" s="60">
        <v>55</v>
      </c>
      <c r="AN27" s="186"/>
      <c r="AO27" s="88">
        <f t="shared" si="10"/>
        <v>25</v>
      </c>
      <c r="AP27" s="59"/>
      <c r="AQ27" s="60"/>
      <c r="AR27" s="186"/>
      <c r="AS27" s="88">
        <f t="shared" si="11"/>
        <v>25</v>
      </c>
      <c r="AT27" s="59"/>
      <c r="AU27" s="60"/>
      <c r="AV27" s="186"/>
      <c r="AW27" s="73"/>
    </row>
    <row r="28" spans="1:49" s="54" customFormat="1" ht="11.25" x14ac:dyDescent="0.2">
      <c r="A28" s="86">
        <f t="shared" si="0"/>
        <v>26</v>
      </c>
      <c r="B28" s="59">
        <v>11.75</v>
      </c>
      <c r="C28" s="60">
        <v>75</v>
      </c>
      <c r="D28" s="186"/>
      <c r="E28" s="88">
        <f t="shared" si="1"/>
        <v>26</v>
      </c>
      <c r="F28" s="59"/>
      <c r="G28" s="60"/>
      <c r="H28" s="186">
        <v>4.1666666666666664E-2</v>
      </c>
      <c r="I28" s="88">
        <f t="shared" si="2"/>
        <v>26</v>
      </c>
      <c r="J28" s="59"/>
      <c r="K28" s="60"/>
      <c r="L28" s="186"/>
      <c r="M28" s="88">
        <f t="shared" si="3"/>
        <v>26</v>
      </c>
      <c r="N28" s="59"/>
      <c r="O28" s="60"/>
      <c r="P28" s="186"/>
      <c r="Q28" s="88">
        <f t="shared" si="4"/>
        <v>26</v>
      </c>
      <c r="R28" s="59">
        <v>8.92</v>
      </c>
      <c r="S28" s="60">
        <v>15</v>
      </c>
      <c r="T28" s="186"/>
      <c r="U28" s="88">
        <f t="shared" si="5"/>
        <v>26</v>
      </c>
      <c r="V28" s="59">
        <v>34.17</v>
      </c>
      <c r="W28" s="60">
        <v>244</v>
      </c>
      <c r="X28" s="186"/>
      <c r="Y28" s="88">
        <f t="shared" si="6"/>
        <v>26</v>
      </c>
      <c r="Z28" s="59">
        <v>9.01</v>
      </c>
      <c r="AA28" s="60">
        <v>15</v>
      </c>
      <c r="AB28" s="186"/>
      <c r="AC28" s="88">
        <f t="shared" si="7"/>
        <v>26</v>
      </c>
      <c r="AD28" s="59"/>
      <c r="AE28" s="60"/>
      <c r="AF28" s="186"/>
      <c r="AG28" s="88">
        <f t="shared" si="8"/>
        <v>26</v>
      </c>
      <c r="AH28" s="59"/>
      <c r="AI28" s="60"/>
      <c r="AJ28" s="186"/>
      <c r="AK28" s="88">
        <f t="shared" si="9"/>
        <v>26</v>
      </c>
      <c r="AL28" s="59">
        <v>12.4</v>
      </c>
      <c r="AM28" s="60">
        <v>40</v>
      </c>
      <c r="AN28" s="186"/>
      <c r="AO28" s="88">
        <f t="shared" si="10"/>
        <v>26</v>
      </c>
      <c r="AP28" s="59"/>
      <c r="AQ28" s="60"/>
      <c r="AR28" s="186"/>
      <c r="AS28" s="88">
        <f t="shared" si="11"/>
        <v>26</v>
      </c>
      <c r="AT28" s="59"/>
      <c r="AU28" s="60"/>
      <c r="AV28" s="186">
        <v>4.1666666666666664E-2</v>
      </c>
      <c r="AW28" s="73"/>
    </row>
    <row r="29" spans="1:49" s="54" customFormat="1" ht="11.25" x14ac:dyDescent="0.2">
      <c r="A29" s="86">
        <f t="shared" si="0"/>
        <v>27</v>
      </c>
      <c r="B29" s="59"/>
      <c r="C29" s="60"/>
      <c r="D29" s="186">
        <v>2.4305555555555556E-2</v>
      </c>
      <c r="E29" s="88">
        <f t="shared" si="1"/>
        <v>27</v>
      </c>
      <c r="F29" s="59"/>
      <c r="G29" s="60"/>
      <c r="H29" s="186"/>
      <c r="I29" s="88">
        <f t="shared" si="2"/>
        <v>27</v>
      </c>
      <c r="J29" s="59">
        <v>20.54</v>
      </c>
      <c r="K29" s="60">
        <v>30</v>
      </c>
      <c r="L29" s="186"/>
      <c r="M29" s="88">
        <f t="shared" si="3"/>
        <v>27</v>
      </c>
      <c r="N29" s="59"/>
      <c r="O29" s="60"/>
      <c r="P29" s="186"/>
      <c r="Q29" s="88">
        <f t="shared" si="4"/>
        <v>27</v>
      </c>
      <c r="R29" s="59"/>
      <c r="S29" s="60"/>
      <c r="T29" s="186"/>
      <c r="U29" s="88">
        <f t="shared" si="5"/>
        <v>27</v>
      </c>
      <c r="V29" s="59">
        <v>32.39</v>
      </c>
      <c r="W29" s="60">
        <v>930</v>
      </c>
      <c r="X29" s="186"/>
      <c r="Y29" s="88">
        <f t="shared" si="6"/>
        <v>27</v>
      </c>
      <c r="Z29" s="59"/>
      <c r="AA29" s="60"/>
      <c r="AB29" s="186"/>
      <c r="AC29" s="88">
        <f t="shared" si="7"/>
        <v>27</v>
      </c>
      <c r="AD29" s="59">
        <v>14</v>
      </c>
      <c r="AE29" s="60">
        <v>10</v>
      </c>
      <c r="AF29" s="186"/>
      <c r="AG29" s="88">
        <f t="shared" si="8"/>
        <v>27</v>
      </c>
      <c r="AH29" s="59">
        <v>12</v>
      </c>
      <c r="AI29" s="60">
        <v>2</v>
      </c>
      <c r="AJ29" s="186"/>
      <c r="AK29" s="88">
        <f t="shared" si="9"/>
        <v>27</v>
      </c>
      <c r="AL29" s="59"/>
      <c r="AM29" s="60"/>
      <c r="AN29" s="186"/>
      <c r="AO29" s="88">
        <f t="shared" si="10"/>
        <v>27</v>
      </c>
      <c r="AP29" s="59"/>
      <c r="AQ29" s="60"/>
      <c r="AR29" s="186"/>
      <c r="AS29" s="88">
        <f t="shared" si="11"/>
        <v>27</v>
      </c>
      <c r="AT29" s="59"/>
      <c r="AU29" s="60"/>
      <c r="AV29" s="186"/>
      <c r="AW29" s="73"/>
    </row>
    <row r="30" spans="1:49" s="54" customFormat="1" ht="11.25" x14ac:dyDescent="0.2">
      <c r="A30" s="86">
        <f t="shared" si="0"/>
        <v>28</v>
      </c>
      <c r="B30" s="59"/>
      <c r="C30" s="60"/>
      <c r="D30" s="186"/>
      <c r="E30" s="88">
        <f t="shared" si="1"/>
        <v>28</v>
      </c>
      <c r="F30" s="59">
        <v>33.5</v>
      </c>
      <c r="G30" s="60">
        <v>93</v>
      </c>
      <c r="H30" s="186">
        <v>6.25E-2</v>
      </c>
      <c r="I30" s="88">
        <f t="shared" si="2"/>
        <v>28</v>
      </c>
      <c r="J30" s="59"/>
      <c r="K30" s="60"/>
      <c r="L30" s="186"/>
      <c r="M30" s="88">
        <f t="shared" si="3"/>
        <v>28</v>
      </c>
      <c r="N30" s="59">
        <v>21.15</v>
      </c>
      <c r="O30" s="60">
        <v>446</v>
      </c>
      <c r="P30" s="186"/>
      <c r="Q30" s="88">
        <f t="shared" si="4"/>
        <v>28</v>
      </c>
      <c r="R30" s="59"/>
      <c r="S30" s="60"/>
      <c r="T30" s="186"/>
      <c r="U30" s="88">
        <f t="shared" si="5"/>
        <v>28</v>
      </c>
      <c r="V30" s="59">
        <v>20.05</v>
      </c>
      <c r="W30" s="60">
        <v>40</v>
      </c>
      <c r="X30" s="186"/>
      <c r="Y30" s="88">
        <f t="shared" si="6"/>
        <v>28</v>
      </c>
      <c r="Z30" s="59"/>
      <c r="AA30" s="60"/>
      <c r="AB30" s="186"/>
      <c r="AC30" s="88">
        <f t="shared" si="7"/>
        <v>28</v>
      </c>
      <c r="AD30" s="59">
        <v>7</v>
      </c>
      <c r="AE30" s="60">
        <v>2</v>
      </c>
      <c r="AF30" s="186"/>
      <c r="AG30" s="88">
        <f t="shared" si="8"/>
        <v>28</v>
      </c>
      <c r="AH30" s="59">
        <v>20.9</v>
      </c>
      <c r="AI30" s="60">
        <v>50</v>
      </c>
      <c r="AJ30" s="186"/>
      <c r="AK30" s="88">
        <f t="shared" si="9"/>
        <v>28</v>
      </c>
      <c r="AL30" s="59">
        <v>13.16</v>
      </c>
      <c r="AM30" s="60">
        <v>35</v>
      </c>
      <c r="AN30" s="186"/>
      <c r="AO30" s="88">
        <f t="shared" si="10"/>
        <v>28</v>
      </c>
      <c r="AP30" s="59"/>
      <c r="AQ30" s="60"/>
      <c r="AR30" s="186"/>
      <c r="AS30" s="88">
        <f t="shared" si="11"/>
        <v>28</v>
      </c>
      <c r="AT30" s="59"/>
      <c r="AU30" s="60"/>
      <c r="AV30" s="186"/>
      <c r="AW30" s="73"/>
    </row>
    <row r="31" spans="1:49" s="54" customFormat="1" ht="11.25" x14ac:dyDescent="0.2">
      <c r="A31" s="86">
        <f t="shared" si="0"/>
        <v>29</v>
      </c>
      <c r="B31" s="59"/>
      <c r="C31" s="60"/>
      <c r="D31" s="186"/>
      <c r="E31" s="88"/>
      <c r="F31" s="59"/>
      <c r="G31" s="60"/>
      <c r="H31" s="186"/>
      <c r="I31" s="88">
        <f t="shared" si="2"/>
        <v>29</v>
      </c>
      <c r="J31" s="59">
        <v>17.23</v>
      </c>
      <c r="K31" s="60">
        <v>40</v>
      </c>
      <c r="L31" s="186"/>
      <c r="M31" s="88">
        <f t="shared" si="3"/>
        <v>29</v>
      </c>
      <c r="N31" s="59"/>
      <c r="O31" s="60"/>
      <c r="P31" s="186"/>
      <c r="Q31" s="88">
        <f t="shared" si="4"/>
        <v>29</v>
      </c>
      <c r="R31" s="59"/>
      <c r="S31" s="60"/>
      <c r="T31" s="186"/>
      <c r="U31" s="88">
        <f t="shared" si="5"/>
        <v>29</v>
      </c>
      <c r="V31" s="59">
        <v>39.6</v>
      </c>
      <c r="W31" s="60">
        <v>25</v>
      </c>
      <c r="X31" s="186"/>
      <c r="Y31" s="88">
        <f t="shared" si="6"/>
        <v>29</v>
      </c>
      <c r="Z31" s="59"/>
      <c r="AA31" s="60"/>
      <c r="AB31" s="186"/>
      <c r="AC31" s="88">
        <f t="shared" si="7"/>
        <v>29</v>
      </c>
      <c r="AD31" s="59">
        <v>19.579999999999998</v>
      </c>
      <c r="AE31" s="60">
        <v>70</v>
      </c>
      <c r="AF31" s="186"/>
      <c r="AG31" s="88">
        <f t="shared" si="8"/>
        <v>29</v>
      </c>
      <c r="AH31" s="59">
        <v>9.3000000000000007</v>
      </c>
      <c r="AI31" s="60">
        <v>20</v>
      </c>
      <c r="AJ31" s="186"/>
      <c r="AK31" s="88">
        <f t="shared" si="9"/>
        <v>29</v>
      </c>
      <c r="AL31" s="59"/>
      <c r="AM31" s="60"/>
      <c r="AN31" s="186"/>
      <c r="AO31" s="88">
        <f t="shared" si="10"/>
        <v>29</v>
      </c>
      <c r="AP31" s="59"/>
      <c r="AQ31" s="60"/>
      <c r="AR31" s="186"/>
      <c r="AS31" s="88">
        <f t="shared" si="11"/>
        <v>29</v>
      </c>
      <c r="AT31" s="59"/>
      <c r="AU31" s="60"/>
      <c r="AV31" s="186"/>
      <c r="AW31" s="73"/>
    </row>
    <row r="32" spans="1:49" s="54" customFormat="1" ht="11.25" x14ac:dyDescent="0.2">
      <c r="A32" s="86">
        <f t="shared" si="0"/>
        <v>30</v>
      </c>
      <c r="B32" s="59">
        <v>10.1</v>
      </c>
      <c r="C32" s="60">
        <v>306</v>
      </c>
      <c r="D32" s="186">
        <v>4.8611111111111112E-2</v>
      </c>
      <c r="E32" s="88"/>
      <c r="F32" s="59"/>
      <c r="G32" s="60"/>
      <c r="H32" s="186"/>
      <c r="I32" s="88">
        <f t="shared" si="2"/>
        <v>30</v>
      </c>
      <c r="J32" s="59">
        <v>22.83</v>
      </c>
      <c r="K32" s="60">
        <v>20</v>
      </c>
      <c r="L32" s="186"/>
      <c r="M32" s="88">
        <f t="shared" si="3"/>
        <v>30</v>
      </c>
      <c r="N32" s="59">
        <v>27.97</v>
      </c>
      <c r="O32" s="60">
        <v>383</v>
      </c>
      <c r="P32" s="186"/>
      <c r="Q32" s="88">
        <f t="shared" si="4"/>
        <v>30</v>
      </c>
      <c r="R32" s="59"/>
      <c r="S32" s="60"/>
      <c r="T32" s="186"/>
      <c r="U32" s="88">
        <f t="shared" si="5"/>
        <v>30</v>
      </c>
      <c r="V32" s="59">
        <v>47.55</v>
      </c>
      <c r="W32" s="60">
        <v>415</v>
      </c>
      <c r="X32" s="186"/>
      <c r="Y32" s="88">
        <f t="shared" si="6"/>
        <v>30</v>
      </c>
      <c r="Z32" s="59">
        <v>21</v>
      </c>
      <c r="AA32" s="60">
        <v>2</v>
      </c>
      <c r="AB32" s="186"/>
      <c r="AC32" s="88">
        <f t="shared" si="7"/>
        <v>30</v>
      </c>
      <c r="AD32" s="59"/>
      <c r="AE32" s="60"/>
      <c r="AF32" s="186"/>
      <c r="AG32" s="88">
        <f t="shared" si="8"/>
        <v>30</v>
      </c>
      <c r="AH32" s="59">
        <v>24.66</v>
      </c>
      <c r="AI32" s="60">
        <v>25</v>
      </c>
      <c r="AJ32" s="186"/>
      <c r="AK32" s="88">
        <f t="shared" si="9"/>
        <v>30</v>
      </c>
      <c r="AL32" s="59"/>
      <c r="AM32" s="60"/>
      <c r="AN32" s="186"/>
      <c r="AO32" s="88">
        <f t="shared" si="10"/>
        <v>30</v>
      </c>
      <c r="AP32" s="59"/>
      <c r="AQ32" s="60"/>
      <c r="AR32" s="186"/>
      <c r="AS32" s="88">
        <f t="shared" si="11"/>
        <v>30</v>
      </c>
      <c r="AT32" s="59"/>
      <c r="AU32" s="60"/>
      <c r="AV32" s="186"/>
      <c r="AW32" s="73"/>
    </row>
    <row r="33" spans="1:49" s="54" customFormat="1" ht="11.25" x14ac:dyDescent="0.2">
      <c r="A33" s="87">
        <f t="shared" si="0"/>
        <v>31</v>
      </c>
      <c r="B33" s="68"/>
      <c r="C33" s="69"/>
      <c r="D33" s="187"/>
      <c r="E33" s="89"/>
      <c r="F33" s="68"/>
      <c r="G33" s="69"/>
      <c r="H33" s="187"/>
      <c r="I33" s="89">
        <f t="shared" si="2"/>
        <v>31</v>
      </c>
      <c r="J33" s="68"/>
      <c r="K33" s="69"/>
      <c r="L33" s="187"/>
      <c r="M33" s="89"/>
      <c r="N33" s="68"/>
      <c r="O33" s="69"/>
      <c r="P33" s="187"/>
      <c r="Q33" s="89">
        <f t="shared" si="4"/>
        <v>31</v>
      </c>
      <c r="R33" s="68">
        <v>11.08</v>
      </c>
      <c r="S33" s="69">
        <v>2</v>
      </c>
      <c r="T33" s="187"/>
      <c r="U33" s="89"/>
      <c r="V33" s="68"/>
      <c r="W33" s="69"/>
      <c r="X33" s="187"/>
      <c r="Y33" s="89">
        <f t="shared" si="6"/>
        <v>31</v>
      </c>
      <c r="Z33" s="68"/>
      <c r="AA33" s="69"/>
      <c r="AB33" s="187">
        <v>2.2222222222222223E-2</v>
      </c>
      <c r="AC33" s="89">
        <f t="shared" si="7"/>
        <v>31</v>
      </c>
      <c r="AD33" s="68">
        <v>22</v>
      </c>
      <c r="AE33" s="69">
        <v>175</v>
      </c>
      <c r="AF33" s="187"/>
      <c r="AG33" s="89"/>
      <c r="AH33" s="68"/>
      <c r="AI33" s="69"/>
      <c r="AJ33" s="187"/>
      <c r="AK33" s="89">
        <f t="shared" si="9"/>
        <v>31</v>
      </c>
      <c r="AL33" s="68"/>
      <c r="AM33" s="69"/>
      <c r="AN33" s="187"/>
      <c r="AO33" s="89"/>
      <c r="AP33" s="68"/>
      <c r="AQ33" s="69"/>
      <c r="AR33" s="187"/>
      <c r="AS33" s="89">
        <f t="shared" si="11"/>
        <v>31</v>
      </c>
      <c r="AT33" s="68"/>
      <c r="AU33" s="69"/>
      <c r="AV33" s="187"/>
      <c r="AW33" s="73"/>
    </row>
    <row r="34" spans="1:49" s="54" customFormat="1" ht="11.25" x14ac:dyDescent="0.2">
      <c r="A34" s="50" t="s">
        <v>95</v>
      </c>
      <c r="B34" s="52">
        <f>SUM(B3:B33)</f>
        <v>160.29999999999998</v>
      </c>
      <c r="C34" s="53">
        <f>SUM(C3:C33)</f>
        <v>1436</v>
      </c>
      <c r="D34" s="92">
        <f>(SUM(D3:D33)/D39)*C39</f>
        <v>208.00000000000003</v>
      </c>
      <c r="E34" s="71"/>
      <c r="F34" s="52">
        <f>SUM(F3:F33)</f>
        <v>225.77</v>
      </c>
      <c r="G34" s="53">
        <f>SUM(G3:G33)</f>
        <v>1215</v>
      </c>
      <c r="H34" s="92">
        <f>(SUM(H3:H33)/D39)*C39</f>
        <v>344</v>
      </c>
      <c r="I34" s="71"/>
      <c r="J34" s="52">
        <f>SUM(J3:J33)</f>
        <v>417.11</v>
      </c>
      <c r="K34" s="53">
        <f>SUM(K3:K33)</f>
        <v>2911</v>
      </c>
      <c r="L34" s="92">
        <f>(SUM(L3:L33)/D39)*C39</f>
        <v>74</v>
      </c>
      <c r="M34" s="90"/>
      <c r="N34" s="52">
        <f>SUM(N3:N33)</f>
        <v>666.43000000000006</v>
      </c>
      <c r="O34" s="53">
        <f>SUM(O3:O33)</f>
        <v>7846</v>
      </c>
      <c r="P34" s="92">
        <f>(SUM(P3:P33)/D39)*C39</f>
        <v>12</v>
      </c>
      <c r="Q34" s="71"/>
      <c r="R34" s="52">
        <f>SUM(R3:R33)</f>
        <v>409.43</v>
      </c>
      <c r="S34" s="53">
        <f>SUM(S3:S33)</f>
        <v>3252</v>
      </c>
      <c r="T34" s="92">
        <f>(SUM(T3:T33)/D39)*C39</f>
        <v>14</v>
      </c>
      <c r="U34" s="71"/>
      <c r="V34" s="52">
        <f>SUM(V3:V33)</f>
        <v>650.35</v>
      </c>
      <c r="W34" s="53">
        <f>SUM(W3:W33)</f>
        <v>7185</v>
      </c>
      <c r="X34" s="92">
        <f>(SUM(X3:X33)/D39)*C39</f>
        <v>24</v>
      </c>
      <c r="Y34" s="71"/>
      <c r="Z34" s="52">
        <f>SUM(Z3:Z33)</f>
        <v>419.47</v>
      </c>
      <c r="AA34" s="53">
        <f>SUM(AA3:AA33)</f>
        <v>5234</v>
      </c>
      <c r="AB34" s="92">
        <f>(SUM(AB3:AB33)/D39)*C39</f>
        <v>12.800000000000002</v>
      </c>
      <c r="AC34" s="71"/>
      <c r="AD34" s="52">
        <f>SUM(AD3:AD33)</f>
        <v>398.15000000000003</v>
      </c>
      <c r="AE34" s="53">
        <f>SUM(AE3:AE33)</f>
        <v>1862</v>
      </c>
      <c r="AF34" s="92">
        <f>(SUM(AF3:AF33)/D39)*C39</f>
        <v>0</v>
      </c>
      <c r="AG34" s="71"/>
      <c r="AH34" s="52">
        <f>SUM(AH3:AH33)</f>
        <v>543.77999999999986</v>
      </c>
      <c r="AI34" s="53">
        <f>SUM(AI3:AI33)</f>
        <v>4353</v>
      </c>
      <c r="AJ34" s="92">
        <f>(SUM(AJ3:AJ33)/D39)*C39</f>
        <v>0</v>
      </c>
      <c r="AK34" s="71"/>
      <c r="AL34" s="52">
        <f>SUM(AL3:AL33)</f>
        <v>322.26</v>
      </c>
      <c r="AM34" s="53">
        <f>SUM(AM3:AM33)</f>
        <v>1870</v>
      </c>
      <c r="AN34" s="92">
        <f>(SUM(AN3:AN33)/D39)*C39</f>
        <v>0</v>
      </c>
      <c r="AO34" s="71"/>
      <c r="AP34" s="52">
        <f>SUM(AP3:AP33)</f>
        <v>211.63</v>
      </c>
      <c r="AQ34" s="53">
        <f>SUM(AQ3:AQ33)</f>
        <v>909</v>
      </c>
      <c r="AR34" s="92">
        <f>(SUM(AR3:AR33)/D39)*C39</f>
        <v>48</v>
      </c>
      <c r="AS34" s="71"/>
      <c r="AT34" s="52">
        <f>SUM(AT3:AT33)</f>
        <v>33.25</v>
      </c>
      <c r="AU34" s="53">
        <f>SUM(AU3:AU33)</f>
        <v>118</v>
      </c>
      <c r="AV34" s="92">
        <f>(SUM(AV3:AV33)/D39)*C39</f>
        <v>184</v>
      </c>
      <c r="AW34" s="73"/>
    </row>
    <row r="35" spans="1:49" s="57" customFormat="1" ht="11.25" x14ac:dyDescent="0.2">
      <c r="A35" s="51" t="s">
        <v>96</v>
      </c>
      <c r="B35" s="55">
        <f>B34</f>
        <v>160.29999999999998</v>
      </c>
      <c r="C35" s="56">
        <f>C34</f>
        <v>1436</v>
      </c>
      <c r="D35" s="93">
        <f>D34</f>
        <v>208.00000000000003</v>
      </c>
      <c r="E35" s="72"/>
      <c r="F35" s="55">
        <f>F34+B35</f>
        <v>386.07</v>
      </c>
      <c r="G35" s="56">
        <f>G34+C35</f>
        <v>2651</v>
      </c>
      <c r="H35" s="93">
        <f>H34+D35</f>
        <v>552</v>
      </c>
      <c r="I35" s="72"/>
      <c r="J35" s="55">
        <f>J34+F35</f>
        <v>803.18000000000006</v>
      </c>
      <c r="K35" s="56">
        <f>K34+G35</f>
        <v>5562</v>
      </c>
      <c r="L35" s="93">
        <f>L34+H35</f>
        <v>626</v>
      </c>
      <c r="M35" s="72"/>
      <c r="N35" s="55">
        <f>N34+J35</f>
        <v>1469.6100000000001</v>
      </c>
      <c r="O35" s="56">
        <f>O34+K35</f>
        <v>13408</v>
      </c>
      <c r="P35" s="93">
        <f>P34+L35</f>
        <v>638</v>
      </c>
      <c r="Q35" s="72"/>
      <c r="R35" s="55">
        <f>R34+N35</f>
        <v>1879.0400000000002</v>
      </c>
      <c r="S35" s="56">
        <f>S34+O35</f>
        <v>16660</v>
      </c>
      <c r="T35" s="93">
        <f>T34+P35</f>
        <v>652</v>
      </c>
      <c r="U35" s="72"/>
      <c r="V35" s="55">
        <f>V34+R35</f>
        <v>2529.3900000000003</v>
      </c>
      <c r="W35" s="56">
        <f>W34+S35</f>
        <v>23845</v>
      </c>
      <c r="X35" s="93">
        <f>X34+T35</f>
        <v>676</v>
      </c>
      <c r="Y35" s="72"/>
      <c r="Z35" s="55">
        <f>Z34+V35</f>
        <v>2948.8600000000006</v>
      </c>
      <c r="AA35" s="56">
        <f>AA34+W35</f>
        <v>29079</v>
      </c>
      <c r="AB35" s="93">
        <f>AB34+X35</f>
        <v>688.8</v>
      </c>
      <c r="AC35" s="72"/>
      <c r="AD35" s="55">
        <f>AD34+Z35</f>
        <v>3347.0100000000007</v>
      </c>
      <c r="AE35" s="56">
        <f>AE34+AA35</f>
        <v>30941</v>
      </c>
      <c r="AF35" s="93">
        <f>AF34+AB35</f>
        <v>688.8</v>
      </c>
      <c r="AG35" s="72"/>
      <c r="AH35" s="55">
        <f>AH34+AD35</f>
        <v>3890.7900000000004</v>
      </c>
      <c r="AI35" s="56">
        <f>AI34+AE35</f>
        <v>35294</v>
      </c>
      <c r="AJ35" s="93">
        <f>AJ34+AF35</f>
        <v>688.8</v>
      </c>
      <c r="AK35" s="72"/>
      <c r="AL35" s="55">
        <f>AL34+AH35</f>
        <v>4213.05</v>
      </c>
      <c r="AM35" s="56">
        <f>AM34+AI35</f>
        <v>37164</v>
      </c>
      <c r="AN35" s="93">
        <f>AN34+AJ35</f>
        <v>688.8</v>
      </c>
      <c r="AO35" s="72"/>
      <c r="AP35" s="55">
        <f>AP34+AL35</f>
        <v>4424.68</v>
      </c>
      <c r="AQ35" s="56">
        <f>AQ34+AM35</f>
        <v>38073</v>
      </c>
      <c r="AR35" s="93">
        <f>AR34+AN35</f>
        <v>736.8</v>
      </c>
      <c r="AS35" s="72"/>
      <c r="AT35" s="55">
        <f>AT34+AP35</f>
        <v>4457.93</v>
      </c>
      <c r="AU35" s="56">
        <f>AU34+AQ35</f>
        <v>38191</v>
      </c>
      <c r="AV35" s="93">
        <f>AV34+AR35</f>
        <v>920.8</v>
      </c>
      <c r="AW35" s="106"/>
    </row>
    <row r="36" spans="1:49" s="54" customFormat="1" ht="11.25" x14ac:dyDescent="0.2">
      <c r="A36" s="54" t="s">
        <v>152</v>
      </c>
      <c r="B36" s="59">
        <f>MAX(B3:B33)</f>
        <v>35</v>
      </c>
      <c r="C36" s="60">
        <f>MAX(C3:C33)</f>
        <v>435</v>
      </c>
      <c r="D36" s="188">
        <f>MAX(D3:D33)</f>
        <v>8.3333333333333329E-2</v>
      </c>
      <c r="E36" s="73"/>
      <c r="F36" s="59">
        <f>MAX(F3:F33)</f>
        <v>35</v>
      </c>
      <c r="G36" s="60">
        <f>MAX(G3:G33)</f>
        <v>435</v>
      </c>
      <c r="H36" s="188">
        <f>MAX(H3:H33)</f>
        <v>9.0277777777777776E-2</v>
      </c>
      <c r="I36" s="73"/>
      <c r="J36" s="59">
        <f>MAX(J3:J33)</f>
        <v>50.5</v>
      </c>
      <c r="K36" s="60">
        <f>MAX(K3:K33)</f>
        <v>570</v>
      </c>
      <c r="L36" s="188">
        <f>MAX(L3:L33)</f>
        <v>4.5138888888888888E-2</v>
      </c>
      <c r="M36" s="73"/>
      <c r="N36" s="59">
        <f>MAX(N3:N33)</f>
        <v>78.37</v>
      </c>
      <c r="O36" s="60">
        <f>MAX(O3:O33)</f>
        <v>1456</v>
      </c>
      <c r="P36" s="188">
        <f>MAX(P3:P33)</f>
        <v>2.0833333333333332E-2</v>
      </c>
      <c r="Q36" s="73"/>
      <c r="R36" s="59">
        <f>MAX(R3:R33)</f>
        <v>125.31</v>
      </c>
      <c r="S36" s="60">
        <f>MAX(S3:S33)</f>
        <v>1731</v>
      </c>
      <c r="T36" s="188">
        <f>MAX(T3:T33)</f>
        <v>2.4305555555555556E-2</v>
      </c>
      <c r="U36" s="73"/>
      <c r="V36" s="59">
        <f>MAX(V3:V33)</f>
        <v>54.67</v>
      </c>
      <c r="W36" s="60">
        <f>MAX(W3:W33)</f>
        <v>930</v>
      </c>
      <c r="X36" s="188">
        <f>MAX(X3:X33)</f>
        <v>4.1666666666666664E-2</v>
      </c>
      <c r="Y36" s="73"/>
      <c r="Z36" s="59">
        <f>MAX(Z3:Z33)</f>
        <v>107.27</v>
      </c>
      <c r="AA36" s="60">
        <f>MAX(AA3:AA33)</f>
        <v>2170</v>
      </c>
      <c r="AB36" s="188">
        <f>MAX(AB3:AB33)</f>
        <v>2.2222222222222223E-2</v>
      </c>
      <c r="AC36" s="73"/>
      <c r="AD36" s="59">
        <f>MAX(AD3:AD33)</f>
        <v>36.03</v>
      </c>
      <c r="AE36" s="60">
        <f>MAX(AE3:AE33)</f>
        <v>435</v>
      </c>
      <c r="AF36" s="188">
        <f>MAX(AF3:AF33)</f>
        <v>0</v>
      </c>
      <c r="AG36" s="73"/>
      <c r="AH36" s="59">
        <f>MAX(AH3:AH33)</f>
        <v>53.45</v>
      </c>
      <c r="AI36" s="60">
        <f>MAX(AI3:AI33)</f>
        <v>920</v>
      </c>
      <c r="AJ36" s="188">
        <f>MAX(AJ3:AJ33)</f>
        <v>0</v>
      </c>
      <c r="AK36" s="73"/>
      <c r="AL36" s="59">
        <f>MAX(AL3:AL33)</f>
        <v>40.76</v>
      </c>
      <c r="AM36" s="60">
        <f>MAX(AM3:AM33)</f>
        <v>420</v>
      </c>
      <c r="AN36" s="188">
        <f>MAX(AN3:AN33)</f>
        <v>0</v>
      </c>
      <c r="AO36" s="73"/>
      <c r="AP36" s="59">
        <f>MAX(AP3:AP33)</f>
        <v>27.06</v>
      </c>
      <c r="AQ36" s="60">
        <f>MAX(AQ3:AQ33)</f>
        <v>310</v>
      </c>
      <c r="AR36" s="188">
        <f>MAX(AR3:AR33)</f>
        <v>4.1666666666666664E-2</v>
      </c>
      <c r="AS36" s="73"/>
      <c r="AT36" s="59">
        <f>MAX(AT3:AT33)</f>
        <v>14</v>
      </c>
      <c r="AU36" s="60">
        <f>MAX(AU3:AU33)</f>
        <v>81</v>
      </c>
      <c r="AV36" s="188">
        <f>MAX(AV3:AV33)</f>
        <v>4.8611111111111112E-2</v>
      </c>
      <c r="AW36" s="73"/>
    </row>
    <row r="37" spans="1:49" s="54" customFormat="1" ht="11.25" x14ac:dyDescent="0.2">
      <c r="A37" s="54" t="s">
        <v>348</v>
      </c>
      <c r="B37" s="59">
        <f>IFERROR(AVERAGE(B3:B33),0)</f>
        <v>16.029999999999998</v>
      </c>
      <c r="C37" s="60">
        <f>IFERROR(AVERAGE(C3:C33),0)</f>
        <v>143.6</v>
      </c>
      <c r="D37" s="188">
        <f>IFERROR(AVERAGE(D3:D33),0)</f>
        <v>3.6111111111111108E-2</v>
      </c>
      <c r="E37" s="73"/>
      <c r="F37" s="59">
        <f>IFERROR(AVERAGE(F3:F33),0)</f>
        <v>18.814166666666669</v>
      </c>
      <c r="G37" s="60">
        <f>IFERROR(AVERAGE(G3:G33),0)</f>
        <v>101.25</v>
      </c>
      <c r="H37" s="188">
        <f>IFERROR(AVERAGE(H3:H33),0)</f>
        <v>4.9768518518518517E-2</v>
      </c>
      <c r="I37" s="73"/>
      <c r="J37" s="59">
        <f>IFERROR(AVERAGE(J3:J33),0)</f>
        <v>20.855499999999999</v>
      </c>
      <c r="K37" s="60">
        <f>IFERROR(AVERAGE(K3:K33),0)</f>
        <v>145.55000000000001</v>
      </c>
      <c r="L37" s="188">
        <f>IFERROR(AVERAGE(L3:L33),0)</f>
        <v>3.2118055555555552E-2</v>
      </c>
      <c r="M37" s="73"/>
      <c r="N37" s="59">
        <f>IFERROR(AVERAGE(N3:N33),0)</f>
        <v>30.292272727272731</v>
      </c>
      <c r="O37" s="60">
        <f>IFERROR(AVERAGE(O3:O33),0)</f>
        <v>356.63636363636363</v>
      </c>
      <c r="P37" s="188">
        <f>IFERROR(AVERAGE(P3:P33),0)</f>
        <v>2.0833333333333332E-2</v>
      </c>
      <c r="Q37" s="73"/>
      <c r="R37" s="59">
        <f>IFERROR(AVERAGE(R3:R33),0)</f>
        <v>24.084117647058825</v>
      </c>
      <c r="S37" s="60">
        <f>IFERROR(AVERAGE(S3:S33),0)</f>
        <v>191.29411764705881</v>
      </c>
      <c r="T37" s="188">
        <f>IFERROR(AVERAGE(T3:T33),0)</f>
        <v>2.4305555555555556E-2</v>
      </c>
      <c r="U37" s="73"/>
      <c r="V37" s="59">
        <f>IFERROR(AVERAGE(V3:V33),0)</f>
        <v>28.276086956521741</v>
      </c>
      <c r="W37" s="60">
        <f>IFERROR(AVERAGE(W3:W33),0)</f>
        <v>312.39130434782606</v>
      </c>
      <c r="X37" s="188">
        <f>IFERROR(AVERAGE(X3:X33),0)</f>
        <v>4.1666666666666664E-2</v>
      </c>
      <c r="Y37" s="73"/>
      <c r="Z37" s="59">
        <f>IFERROR(AVERAGE(Z3:Z33),0)</f>
        <v>32.266923076923078</v>
      </c>
      <c r="AA37" s="60">
        <f>IFERROR(AVERAGE(AA3:AA33),0)</f>
        <v>402.61538461538464</v>
      </c>
      <c r="AB37" s="188">
        <f>IFERROR(AVERAGE(AB3:AB33),0)</f>
        <v>2.2222222222222223E-2</v>
      </c>
      <c r="AC37" s="73"/>
      <c r="AD37" s="59">
        <f>IFERROR(AVERAGE(AD3:AD33),0)</f>
        <v>19.907500000000002</v>
      </c>
      <c r="AE37" s="60">
        <f>IFERROR(AVERAGE(AE3:AE33),0)</f>
        <v>93.1</v>
      </c>
      <c r="AF37" s="188">
        <f>IFERROR(AVERAGE(AF3:AF33),0)</f>
        <v>0</v>
      </c>
      <c r="AG37" s="73"/>
      <c r="AH37" s="59">
        <f>IFERROR(AVERAGE(AH3:AH33),0)</f>
        <v>24.717272727272722</v>
      </c>
      <c r="AI37" s="60">
        <f>IFERROR(AVERAGE(AI3:AI33),0)</f>
        <v>197.86363636363637</v>
      </c>
      <c r="AJ37" s="188">
        <f>IFERROR(AVERAGE(AJ3:AJ33),0)</f>
        <v>0</v>
      </c>
      <c r="AK37" s="73"/>
      <c r="AL37" s="59">
        <f>IFERROR(AVERAGE(AL3:AL33),0)</f>
        <v>21.483999999999998</v>
      </c>
      <c r="AM37" s="60">
        <f>IFERROR(AVERAGE(AM3:AM33),0)</f>
        <v>124.66666666666667</v>
      </c>
      <c r="AN37" s="188">
        <f>IFERROR(AVERAGE(AN3:AN33),0)</f>
        <v>0</v>
      </c>
      <c r="AO37" s="73"/>
      <c r="AP37" s="59">
        <f>IFERROR(AVERAGE(AP3:AP33),0)</f>
        <v>14.108666666666666</v>
      </c>
      <c r="AQ37" s="60">
        <f>IFERROR(AVERAGE(AQ3:AQ33),0)</f>
        <v>60.6</v>
      </c>
      <c r="AR37" s="188">
        <f>IFERROR(AVERAGE(AR3:AR33),0)</f>
        <v>4.1666666666666664E-2</v>
      </c>
      <c r="AS37" s="73"/>
      <c r="AT37" s="59">
        <f>IFERROR(AVERAGE(AT3:AT33),0)</f>
        <v>11.083333333333334</v>
      </c>
      <c r="AU37" s="60">
        <f>IFERROR(AVERAGE(AU3:AU33),0)</f>
        <v>39.333333333333336</v>
      </c>
      <c r="AV37" s="188">
        <f>IFERROR(AVERAGE(AV3:AV33),0)</f>
        <v>3.5493827160493825E-2</v>
      </c>
      <c r="AW37" s="73"/>
    </row>
    <row r="38" spans="1:49" s="54" customFormat="1" ht="11.25" x14ac:dyDescent="0.2">
      <c r="A38" s="54" t="s">
        <v>241</v>
      </c>
      <c r="B38" s="59">
        <f>B34-'09'!B34</f>
        <v>-139.74000000000004</v>
      </c>
      <c r="C38" s="91">
        <f>C34-'09'!C34</f>
        <v>-439</v>
      </c>
      <c r="D38" s="119">
        <f>IF(B34+D34=0,0,D34/(B34+D34))</f>
        <v>0.56475699158294879</v>
      </c>
      <c r="E38" s="73"/>
      <c r="F38" s="59">
        <f>F34-'09'!F34</f>
        <v>-42.500000000000028</v>
      </c>
      <c r="G38" s="91">
        <f>G34-'09'!G34</f>
        <v>-1738</v>
      </c>
      <c r="H38" s="119">
        <f>IF(F34+H34=0,0,H34/(F34+H34))</f>
        <v>0.60375239131579406</v>
      </c>
      <c r="I38" s="73"/>
      <c r="J38" s="59">
        <f>J34-'09'!J34</f>
        <v>-121.52999999999997</v>
      </c>
      <c r="K38" s="91">
        <f>K34-'09'!K34</f>
        <v>-1882</v>
      </c>
      <c r="L38" s="119">
        <f>IF(J34+L34=0,0,L34/(J34+L34))</f>
        <v>0.1506790739345564</v>
      </c>
      <c r="M38" s="73"/>
      <c r="N38" s="59">
        <f>N34-'09'!N34</f>
        <v>-63.589999999999918</v>
      </c>
      <c r="O38" s="91">
        <f>O34-'09'!O34</f>
        <v>467</v>
      </c>
      <c r="P38" s="119">
        <f>IF(N34+P34=0,0,P34/(N34+P34))</f>
        <v>1.7687897056439129E-2</v>
      </c>
      <c r="Q38" s="73"/>
      <c r="R38" s="59">
        <f>R34-'09'!R34</f>
        <v>-399.10999999999984</v>
      </c>
      <c r="S38" s="91">
        <f>S34-'09'!S34</f>
        <v>-4759</v>
      </c>
      <c r="T38" s="119">
        <f>IF(R34+T34=0,0,T34/(R34+T34))</f>
        <v>3.3063316250619937E-2</v>
      </c>
      <c r="U38" s="73"/>
      <c r="V38" s="59">
        <f>V34-'09'!V34</f>
        <v>-225.50999999999988</v>
      </c>
      <c r="W38" s="91">
        <f>W34-'09'!W34</f>
        <v>-948</v>
      </c>
      <c r="X38" s="119">
        <f>IF(V34+X34=0,0,X34/(V34+X34))</f>
        <v>3.558982724104693E-2</v>
      </c>
      <c r="Y38" s="73"/>
      <c r="Z38" s="59">
        <f>Z34-'09'!Z34</f>
        <v>-425.03000000000009</v>
      </c>
      <c r="AA38" s="91">
        <f>AA34-'09'!AA34</f>
        <v>-2653</v>
      </c>
      <c r="AB38" s="119">
        <f>IF(Z34+AB34=0,0,AB34/(Z34+AB34))</f>
        <v>2.961112267795591E-2</v>
      </c>
      <c r="AC38" s="73"/>
      <c r="AD38" s="59">
        <f>AD34-'09'!AD34</f>
        <v>-405.10000000000008</v>
      </c>
      <c r="AE38" s="91">
        <f>AE34-'09'!AE34</f>
        <v>-7462</v>
      </c>
      <c r="AF38" s="119">
        <f>IF(AD34+AF34=0,0,AF34/(AD34+AF34))</f>
        <v>0</v>
      </c>
      <c r="AG38" s="73"/>
      <c r="AH38" s="59">
        <f>AH34-'09'!AH34</f>
        <v>16.609999999999786</v>
      </c>
      <c r="AI38" s="91">
        <f>AI34-'09'!AI34</f>
        <v>-3761</v>
      </c>
      <c r="AJ38" s="119">
        <f>IF(AH34+AJ34=0,0,AJ34/(AH34+AJ34))</f>
        <v>0</v>
      </c>
      <c r="AK38" s="73"/>
      <c r="AL38" s="59">
        <f>AL34-'09'!AL34</f>
        <v>-160.44999999999999</v>
      </c>
      <c r="AM38" s="91">
        <f>AM34-'09'!AM34</f>
        <v>-1446</v>
      </c>
      <c r="AN38" s="119">
        <f>IF(AL34+AN34=0,0,AN34/(AL34+AN34))</f>
        <v>0</v>
      </c>
      <c r="AO38" s="73"/>
      <c r="AP38" s="59">
        <f>AP34-'09'!AP34</f>
        <v>-57.110000000000014</v>
      </c>
      <c r="AQ38" s="91">
        <f>AQ34-'09'!AQ34</f>
        <v>-3546</v>
      </c>
      <c r="AR38" s="119">
        <f>IF(AP34+AR34=0,0,AR34/(AP34+AR34))</f>
        <v>0.1848784809151485</v>
      </c>
      <c r="AS38" s="73"/>
      <c r="AT38" s="59">
        <f>AT34-'09'!AT34</f>
        <v>-267.34000000000003</v>
      </c>
      <c r="AU38" s="91">
        <f>AU34-'09'!AU34</f>
        <v>-1098</v>
      </c>
      <c r="AV38" s="119">
        <f>IF(AT34+AV34=0,0,AV34/(AT34+AV34))</f>
        <v>0.84695051783659381</v>
      </c>
      <c r="AW38" s="73"/>
    </row>
    <row r="39" spans="1:49" s="1" customFormat="1" x14ac:dyDescent="0.2">
      <c r="A39" s="51" t="s">
        <v>158</v>
      </c>
      <c r="B39" s="177" t="s">
        <v>242</v>
      </c>
      <c r="C39" s="178">
        <v>24</v>
      </c>
      <c r="D39" s="189">
        <v>4.1666666666666664E-2</v>
      </c>
      <c r="E39" s="205"/>
      <c r="H39" s="206"/>
      <c r="I39" s="205"/>
      <c r="J39" s="55">
        <f>SUM(B34,F34,J34)</f>
        <v>803.18000000000006</v>
      </c>
      <c r="K39" s="56">
        <f t="shared" ref="K39:L39" si="12">SUM(C34,G34,K34)</f>
        <v>5562</v>
      </c>
      <c r="L39" s="207">
        <f t="shared" si="12"/>
        <v>626</v>
      </c>
      <c r="M39" s="205"/>
      <c r="P39" s="206"/>
      <c r="Q39" s="205"/>
      <c r="T39" s="206"/>
      <c r="U39" s="205"/>
      <c r="V39" s="55">
        <f>SUM(N34,R34,V34)</f>
        <v>1726.21</v>
      </c>
      <c r="W39" s="56">
        <f>SUM(O34,S34,W34)</f>
        <v>18283</v>
      </c>
      <c r="X39" s="207">
        <f>SUM(P34,T34,X34)</f>
        <v>50</v>
      </c>
      <c r="Y39" s="205"/>
      <c r="AB39" s="206"/>
      <c r="AC39" s="205"/>
      <c r="AF39" s="206"/>
      <c r="AG39" s="205"/>
      <c r="AH39" s="55">
        <f>SUM(Z34,AD34,AH34)</f>
        <v>1361.4</v>
      </c>
      <c r="AI39" s="56">
        <f>SUM(AA34,AE34,AI34)</f>
        <v>11449</v>
      </c>
      <c r="AJ39" s="207">
        <f>SUM(AB34,AF34,AJ34)</f>
        <v>12.800000000000002</v>
      </c>
      <c r="AK39" s="205"/>
      <c r="AN39" s="206"/>
      <c r="AO39" s="205"/>
      <c r="AR39" s="206"/>
      <c r="AS39" s="205"/>
      <c r="AT39" s="55">
        <f>SUM(AL34,AP34,AT34)</f>
        <v>567.14</v>
      </c>
      <c r="AU39" s="56">
        <f>SUM(AM34,AQ34,AU34)</f>
        <v>2897</v>
      </c>
      <c r="AV39" s="207">
        <f>SUM(AN34,AR34,AV34)</f>
        <v>232</v>
      </c>
      <c r="AW39" s="205"/>
    </row>
    <row r="40" spans="1:49" s="54" customFormat="1" ht="11.25" x14ac:dyDescent="0.2">
      <c r="A40" s="54" t="s">
        <v>347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18.566555555555556</v>
      </c>
      <c r="K40" s="60">
        <f>IFERROR(AVERAGE(C37,G37,K37),0)</f>
        <v>130.13333333333333</v>
      </c>
      <c r="L40" s="188">
        <f>IFERROR(AVERAGE(D37,H37,L37),0)</f>
        <v>3.9332561728395062E-2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27.5508257769511</v>
      </c>
      <c r="W40" s="60">
        <f>IFERROR(AVERAGE(O37,S37,W37),0)</f>
        <v>286.77392854374949</v>
      </c>
      <c r="X40" s="188">
        <f>IFERROR(AVERAGE(P37,T37,X37),0)</f>
        <v>2.8935185185185185E-2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25.630565268065265</v>
      </c>
      <c r="AI40" s="60">
        <f>IFERROR(AVERAGE(AA37,AE37,AI37),0)</f>
        <v>231.193006993007</v>
      </c>
      <c r="AJ40" s="188">
        <f>IFERROR(AVERAGE(AB37,AF37,AJ37),0)</f>
        <v>7.4074074074074077E-3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15.558666666666667</v>
      </c>
      <c r="AU40" s="60">
        <f>IFERROR(AVERAGE(AM37,AQ37,AU37),0)</f>
        <v>74.866666666666674</v>
      </c>
      <c r="AV40" s="188">
        <f>IFERROR(AVERAGE(AN37,AR37,AV37),0)</f>
        <v>2.5720164609053495E-2</v>
      </c>
      <c r="AW40" s="73"/>
    </row>
    <row r="41" spans="1:49" s="118" customFormat="1" ht="11.25" x14ac:dyDescent="0.2">
      <c r="A41" s="115" t="s">
        <v>225</v>
      </c>
      <c r="B41" s="109">
        <f>RANK(B34,(B34,F34,J34,N34,R34,V34,Z34,AD34,AH34,AL34,AP34,AT34))</f>
        <v>11</v>
      </c>
      <c r="C41" s="110">
        <f>RANK(C34,(C34,G34,K34,O34,S34,W34,AA34,AE34,AI34,AM34,AQ34,AU34))</f>
        <v>9</v>
      </c>
      <c r="D41" s="116">
        <f>RANK(D34,(D34,H34,L34,P34,T34,X34,AB34,AF34,AJ34,AN34,AR34,AV34))</f>
        <v>2</v>
      </c>
      <c r="E41" s="117"/>
      <c r="F41" s="109">
        <f>RANK(F34,(B34,F34,J34,N34,R34,V34,Z34,AD34,AH34,AL34,AP34,AT34))</f>
        <v>9</v>
      </c>
      <c r="G41" s="110">
        <f>RANK(G34,(C34,G34,K34,O34,S34,W34,AA34,AE34,AI34,AM34,AQ34,AU34))</f>
        <v>10</v>
      </c>
      <c r="H41" s="116">
        <f>RANK(H34,(D34,H34,L34,P34,T34,X34,AB34,AF34,AJ34,AN34,AR34,AV34))</f>
        <v>1</v>
      </c>
      <c r="I41" s="117"/>
      <c r="J41" s="109">
        <f>RANK(J34,(B34,F34,J34,N34,R34,V34,Z34,AD34,AH34,AL34,AP34,AT34))</f>
        <v>5</v>
      </c>
      <c r="K41" s="110">
        <f>RANK(K34,(C34,G34,K34,O34,S34,W34,AA34,AE34,AI34,AM34,AQ34,AU34))</f>
        <v>6</v>
      </c>
      <c r="L41" s="116">
        <f>RANK(L34,(D34,H34,L34,P34,T34,X34,AB34,AF34,AJ34,AN34,AR34,AV34))</f>
        <v>4</v>
      </c>
      <c r="M41" s="117"/>
      <c r="N41" s="109">
        <f>RANK(N34,(B34,F34,J34,N34,R34,V34,Z34,AD34,AH34,AL34,AP34,AT34))</f>
        <v>1</v>
      </c>
      <c r="O41" s="110">
        <f>RANK(O34,(C34,G34,K34,O34,S34,W34,AA34,AE34,AI34,AM34,AQ34,AU34))</f>
        <v>1</v>
      </c>
      <c r="P41" s="116">
        <f>RANK(P34,(D34,H34,L34,P34,T34,X34,AB34,AF34,AJ34,AN34,AR34,AV34))</f>
        <v>9</v>
      </c>
      <c r="Q41" s="117"/>
      <c r="R41" s="109">
        <f>RANK(R34,(B34,F34,J34,N34,R34,V34,Z34,AD34,AH34,AL34,AP34,AT34))</f>
        <v>6</v>
      </c>
      <c r="S41" s="110">
        <f>RANK(S34,(C34,G34,K34,O34,S34,W34,AA34,AE34,AI34,AM34,AQ34,AU34))</f>
        <v>5</v>
      </c>
      <c r="T41" s="116">
        <f>RANK(T34,(D34,H34,L34,P34,T34,X34,AB34,AF34,AJ34,AN34,AR34,AV34))</f>
        <v>7</v>
      </c>
      <c r="U41" s="117"/>
      <c r="V41" s="109">
        <f>RANK(V34,(B34,F34,J34,N34,R34,V34,Z34,AD34,AH34,AL34,AP34,AT34))</f>
        <v>2</v>
      </c>
      <c r="W41" s="110">
        <f>RANK(W34,(C34,G34,K34,O34,S34,W34,AA34,AE34,AI34,AM34,AQ34,AU34))</f>
        <v>2</v>
      </c>
      <c r="X41" s="116">
        <f>RANK(X34,(D34,H34,L34,P34,T34,X34,AB34,AF34,AJ34,AN34,AR34,AV34))</f>
        <v>6</v>
      </c>
      <c r="Y41" s="117"/>
      <c r="Z41" s="109">
        <f>RANK(Z34,(B34,F34,J34,N34,R34,V34,Z34,AD34,AH34,AL34,AP34,AT34))</f>
        <v>4</v>
      </c>
      <c r="AA41" s="110">
        <f>RANK(AA34,(C34,G34,K34,O34,S34,W34,AA34,AE34,AI34,AM34,AQ34,AU34))</f>
        <v>3</v>
      </c>
      <c r="AB41" s="116">
        <f>RANK(AB34,(D34,H34,L34,P34,T34,X34,AB34,AF34,AJ34,AN34,AR34,AV34))</f>
        <v>8</v>
      </c>
      <c r="AC41" s="117"/>
      <c r="AD41" s="109">
        <f>RANK(AD34,(B34,F34,J34,N34,R34,V34,Z34,AD34,AH34,AL34,AP34,AT34))</f>
        <v>7</v>
      </c>
      <c r="AE41" s="110">
        <f>RANK(AE34,(C34,G34,K34,O34,S34,W34,AA34,AE34,AI34,AM34,AQ34,AU34))</f>
        <v>8</v>
      </c>
      <c r="AF41" s="116">
        <f>RANK(AF34,(D34,H34,L34,P34,T34,X34,AB34,AF34,AJ34,AN34,AR34,AV34))</f>
        <v>10</v>
      </c>
      <c r="AG41" s="117"/>
      <c r="AH41" s="109">
        <f>RANK(AH34,(B34,F34,J34,N34,R34,V34,Z34,AD34,AH34,AL34,AP34,AT34))</f>
        <v>3</v>
      </c>
      <c r="AI41" s="110">
        <f>RANK(AI34,(C34,G34,K34,O34,S34,W34,AA34,AE34,AI34,AM34,AQ34,AU34))</f>
        <v>4</v>
      </c>
      <c r="AJ41" s="116">
        <f>RANK(AJ34,(D34,H34,L34,P34,T34,X34,AB34,AF34,AJ34,AN34,AR34,AV34))</f>
        <v>10</v>
      </c>
      <c r="AK41" s="117"/>
      <c r="AL41" s="109">
        <f>RANK(AL34,(B34,F34,J34,N34,R34,V34,Z34,AD34,AH34,AL34,AP34,AT34))</f>
        <v>8</v>
      </c>
      <c r="AM41" s="110">
        <f>RANK(AM34,(C34,G34,K34,O34,S34,W34,AA34,AE34,AI34,AM34,AQ34,AU34))</f>
        <v>7</v>
      </c>
      <c r="AN41" s="116">
        <f>RANK(AN34,(D34,H34,L34,P34,T34,X34,AB34,AF34,AJ34,AN34,AR34,AV34))</f>
        <v>10</v>
      </c>
      <c r="AO41" s="117"/>
      <c r="AP41" s="109">
        <f>RANK(AP34,(B34,F34,J34,N34,R34,V34,Z34,AD34,AH34,AL34,AP34,AT34))</f>
        <v>10</v>
      </c>
      <c r="AQ41" s="110">
        <f>RANK(AQ34,(C34,G34,K34,O34,S34,W34,AA34,AE34,AI34,AM34,AQ34,AU34))</f>
        <v>11</v>
      </c>
      <c r="AR41" s="116">
        <f>RANK(AR34,(D34,H34,L34,P34,T34,X34,AB34,AF34,AJ34,AN34,AR34,AV34))</f>
        <v>5</v>
      </c>
      <c r="AS41" s="117"/>
      <c r="AT41" s="109">
        <f>RANK(AT34,(B34,F34,J34,N34,R34,V34,Z34,AD34,AH34,AL34,AP34,AT34))</f>
        <v>12</v>
      </c>
      <c r="AU41" s="110">
        <f>RANK(AU34,(C34,G34,K34,O34,S34,W34,AA34,AE34,AI34,AM34,AQ34,AU34))</f>
        <v>12</v>
      </c>
      <c r="AV41" s="116">
        <f>RANK(AV34,(D34,H34,L34,P34,T34,X34,AB34,AF34,AJ34,AN34,AR34,AV34))</f>
        <v>3</v>
      </c>
      <c r="AW41" s="122"/>
    </row>
    <row r="42" spans="1:49" s="54" customFormat="1" ht="11.25" x14ac:dyDescent="0.2">
      <c r="A42" s="57" t="s">
        <v>218</v>
      </c>
      <c r="B42" s="100">
        <f>T1</f>
        <v>21.826653316809644</v>
      </c>
      <c r="C42" s="101">
        <f>AB1</f>
        <v>180.7417338841891</v>
      </c>
      <c r="D42" s="102"/>
      <c r="E42" s="214" t="s">
        <v>404</v>
      </c>
      <c r="F42" s="215">
        <f>SUM(J23:J33,N3:N33,R3:R33,V3:V33,Z3:Z33,AD3:AD33,AH3:AH23)</f>
        <v>3157.2799999999993</v>
      </c>
      <c r="G42" s="216">
        <f>SUM(K23:K33,O3:O32,S3:S33,W3:W32,AA3:AA33,AE3:AE33,AI3:AI23)</f>
        <v>30815</v>
      </c>
      <c r="H42" s="217"/>
      <c r="I42" s="217"/>
      <c r="J42" s="218">
        <f>IFERROR(F42/(F42+F43),0)</f>
        <v>0.70823902573615982</v>
      </c>
      <c r="K42" s="218">
        <f>IFERROR(G42/(G42+G43),0)</f>
        <v>0.80686549186981227</v>
      </c>
      <c r="L42" s="217"/>
      <c r="M42" s="309" t="s">
        <v>606</v>
      </c>
      <c r="N42" s="307">
        <v>12</v>
      </c>
      <c r="Y42" s="173"/>
      <c r="AK42" s="255" t="s">
        <v>484</v>
      </c>
      <c r="AL42" s="52">
        <f>MAX(B34,F34,J34,N34,R34,V34,Z34,AD34,AH34,AL34,AP34,AT34)</f>
        <v>666.43000000000006</v>
      </c>
      <c r="AM42" s="256">
        <f>MAX(C34,G34,K34,O34,S34,W34,AA34,AE34,AI34,AM34,AQ34,AU34)</f>
        <v>7846</v>
      </c>
      <c r="AN42" s="54" t="s">
        <v>351</v>
      </c>
      <c r="AO42" s="253" t="s">
        <v>349</v>
      </c>
      <c r="AP42" s="59">
        <f>R1-'09'!R1</f>
        <v>-235.02000000000004</v>
      </c>
      <c r="AQ42" s="91">
        <f>AF1-'09'!AF1</f>
        <v>-1098</v>
      </c>
      <c r="AR42" s="54" t="s">
        <v>350</v>
      </c>
      <c r="AS42" s="252" t="s">
        <v>349</v>
      </c>
      <c r="AT42" s="59">
        <f>I1-'09'!I1</f>
        <v>-6.1299999999999955</v>
      </c>
      <c r="AU42" s="91">
        <f>AN1-'09'!AN1</f>
        <v>310</v>
      </c>
      <c r="AV42" s="54" t="s">
        <v>351</v>
      </c>
      <c r="AW42" s="73"/>
    </row>
    <row r="43" spans="1:49" s="54" customFormat="1" ht="11.25" x14ac:dyDescent="0.2">
      <c r="A43" s="57" t="s">
        <v>219</v>
      </c>
      <c r="B43" s="100">
        <f>E1/365</f>
        <v>12.213506849315069</v>
      </c>
      <c r="C43" s="101">
        <f>AU1/365</f>
        <v>104.63287671232877</v>
      </c>
      <c r="D43" s="102"/>
      <c r="E43" s="210" t="s">
        <v>405</v>
      </c>
      <c r="F43" s="211">
        <f>E1-F42</f>
        <v>1300.650000000001</v>
      </c>
      <c r="G43" s="212">
        <f>AU1-G42</f>
        <v>7376</v>
      </c>
      <c r="H43" s="213"/>
      <c r="I43" s="213"/>
      <c r="J43" s="219">
        <f>IFERROR(F43/(F42+F43),0)</f>
        <v>0.29176097426384012</v>
      </c>
      <c r="K43" s="219">
        <f>IFERROR(G43/(G42+G43),0)</f>
        <v>0.19313450813018773</v>
      </c>
      <c r="L43" s="213"/>
      <c r="M43" s="71" t="s">
        <v>607</v>
      </c>
      <c r="N43" s="308">
        <v>18</v>
      </c>
      <c r="Y43" s="73"/>
      <c r="AK43" s="257" t="s">
        <v>487</v>
      </c>
      <c r="AL43" s="228">
        <f>IF($B$1&lt;&gt;0,$AV$35/$B1,0)</f>
        <v>0.17119282804676939</v>
      </c>
      <c r="AO43" s="254" t="s">
        <v>349</v>
      </c>
      <c r="AP43" s="59">
        <f>AV35-'09'!AV35</f>
        <v>310.79999999999995</v>
      </c>
      <c r="AQ43" s="228">
        <f>AL43-'09'!AL43</f>
        <v>8.8293583245299484E-2</v>
      </c>
      <c r="AR43" s="54" t="s">
        <v>208</v>
      </c>
      <c r="AS43" s="252" t="s">
        <v>349</v>
      </c>
      <c r="AT43" s="59">
        <f>B1-'09'!B1</f>
        <v>-1979.5999999999995</v>
      </c>
      <c r="AU43" s="91">
        <f>AU1-'09'!AU1</f>
        <v>-29265</v>
      </c>
      <c r="AV43" s="54" t="s">
        <v>352</v>
      </c>
      <c r="AW43" s="73"/>
    </row>
  </sheetData>
  <sheetProtection password="CC70" sheet="1" objects="1" scenarios="1"/>
  <mergeCells count="19"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  <mergeCell ref="AU1:AV1"/>
    <mergeCell ref="AH1:AI1"/>
    <mergeCell ref="AJ1:AK1"/>
    <mergeCell ref="AL1:AM1"/>
    <mergeCell ref="AN1:AO1"/>
    <mergeCell ref="AP1:AQ1"/>
    <mergeCell ref="AR1:AS1"/>
  </mergeCells>
  <conditionalFormatting sqref="C34 G34 K34 O34 S34 W34 AA34 AE34 AI34 AM34 AQ34 AU34">
    <cfRule type="cellIs" dxfId="735" priority="166" operator="equal">
      <formula>$AF$1</formula>
    </cfRule>
    <cfRule type="cellIs" dxfId="734" priority="169" operator="equal">
      <formula>$AJ$1</formula>
    </cfRule>
  </conditionalFormatting>
  <conditionalFormatting sqref="B38:C38 F38:G38 J38:K38 N38:O38 R38:S38 V38:W38 Z38:AA38 AD38:AE38 AH38:AI38 AL38:AM38 AP38:AQ38 AT38:AU38 AT42:AU43 AP42:AQ42">
    <cfRule type="cellIs" dxfId="733" priority="163" operator="lessThan">
      <formula>0</formula>
    </cfRule>
    <cfRule type="cellIs" dxfId="732" priority="164" operator="greaterThanOrEqual">
      <formula>0</formula>
    </cfRule>
  </conditionalFormatting>
  <conditionalFormatting sqref="C38 G38 K38 O38 S38 W38 AA38 AE38 AI38 AM38 AQ38 AU38 AU42:AU43 AQ42">
    <cfRule type="cellIs" dxfId="731" priority="161" operator="lessThan">
      <formula>0</formula>
    </cfRule>
    <cfRule type="cellIs" dxfId="730" priority="162" operator="greaterThanOrEqual">
      <formula>0</formula>
    </cfRule>
  </conditionalFormatting>
  <conditionalFormatting sqref="B3:B33 F3:F33 J3:J33 N3:N33 R3:R33 V3:V33 Z3:Z33 AT3:AT33 AH3:AH33 AL3:AL33 AP3:AP33 AD3:AD13 AD15:AD33">
    <cfRule type="cellIs" dxfId="729" priority="158" stopIfTrue="1" operator="lessThan">
      <formula>50</formula>
    </cfRule>
    <cfRule type="cellIs" dxfId="728" priority="159" stopIfTrue="1" operator="greaterThanOrEqual">
      <formula>100</formula>
    </cfRule>
    <cfRule type="cellIs" dxfId="727" priority="160" operator="greaterThanOrEqual">
      <formula>50</formula>
    </cfRule>
  </conditionalFormatting>
  <conditionalFormatting sqref="C3:C33 G3:G33 K3:K33 O3:O33 S3:S33 W3:W33 AA3:AA33 AU3:AU33 AI3:AI33 AM3:AM33 AQ3:AQ33 AE3:AE13 AE15:AE33">
    <cfRule type="cellIs" dxfId="726" priority="155" stopIfTrue="1" operator="between">
      <formula>0</formula>
      <formula>749.99</formula>
    </cfRule>
    <cfRule type="cellIs" dxfId="725" priority="156" stopIfTrue="1" operator="greaterThanOrEqual">
      <formula>1500</formula>
    </cfRule>
    <cfRule type="cellIs" dxfId="724" priority="157" operator="greaterThanOrEqual">
      <formula>750</formula>
    </cfRule>
  </conditionalFormatting>
  <conditionalFormatting sqref="D38">
    <cfRule type="cellIs" dxfId="723" priority="150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722" priority="149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721" priority="138" operator="equal">
      <formula>MAX($D$34,$H$34,$L$34,$P$34,$T$34,$X$34,$AB$34,$AF$34,$AJ$34,$AN$34,$AR$34,$AV$34)</formula>
    </cfRule>
  </conditionalFormatting>
  <conditionalFormatting sqref="D3:D33 H3:H33 L3:L33 P3:P33 T3:T33 X3:X33 AB3:AB33 AF3:AF33 AJ3:AJ33 AN3:AN33 AR3:AR33 AV3:AV33">
    <cfRule type="cellIs" dxfId="720" priority="117" stopIfTrue="1" operator="between">
      <formula>0</formula>
      <formula>0.0416550925925926</formula>
    </cfRule>
    <cfRule type="cellIs" dxfId="719" priority="118" stopIfTrue="1" operator="between">
      <formula>0.0416666666666667</formula>
      <formula>0.0833217592592593</formula>
    </cfRule>
    <cfRule type="cellIs" dxfId="718" priority="119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717" priority="71" operator="equal">
      <formula>MAX($D$36,$H$36,$L$36,$P$36,$T$36,$X$36,$AB$36,$AF$36,$AJ$36,$AN$36,$AR$36,$AV$36)</formula>
    </cfRule>
  </conditionalFormatting>
  <conditionalFormatting sqref="AP43">
    <cfRule type="cellIs" dxfId="716" priority="69" operator="lessThan">
      <formula>0</formula>
    </cfRule>
    <cfRule type="cellIs" dxfId="715" priority="70" operator="greaterThanOrEqual">
      <formula>0</formula>
    </cfRule>
  </conditionalFormatting>
  <conditionalFormatting sqref="B34">
    <cfRule type="cellIs" dxfId="714" priority="60" operator="equal">
      <formula>$R$1</formula>
    </cfRule>
    <cfRule type="cellIs" dxfId="713" priority="61" operator="equal">
      <formula>$M$1</formula>
    </cfRule>
  </conditionalFormatting>
  <conditionalFormatting sqref="AL42">
    <cfRule type="cellIs" dxfId="712" priority="55" stopIfTrue="1" operator="lessThan">
      <formula>1000</formula>
    </cfRule>
    <cfRule type="cellIs" dxfId="711" priority="56" stopIfTrue="1" operator="lessThan">
      <formula>1100</formula>
    </cfRule>
    <cfRule type="cellIs" dxfId="710" priority="57" stopIfTrue="1" operator="lessThan">
      <formula>9999</formula>
    </cfRule>
  </conditionalFormatting>
  <conditionalFormatting sqref="AM42">
    <cfRule type="cellIs" dxfId="709" priority="52" stopIfTrue="1" operator="lessThan">
      <formula>10000</formula>
    </cfRule>
    <cfRule type="cellIs" dxfId="708" priority="53" stopIfTrue="1" operator="lessThan">
      <formula>13000</formula>
    </cfRule>
    <cfRule type="cellIs" dxfId="707" priority="54" stopIfTrue="1" operator="lessThan">
      <formula>99999</formula>
    </cfRule>
  </conditionalFormatting>
  <conditionalFormatting sqref="AL43">
    <cfRule type="cellIs" dxfId="706" priority="46" stopIfTrue="1" operator="lessThan">
      <formula>0.05</formula>
    </cfRule>
    <cfRule type="cellIs" dxfId="705" priority="47" stopIfTrue="1" operator="lessThan">
      <formula>0.1</formula>
    </cfRule>
    <cfRule type="cellIs" dxfId="704" priority="48" stopIfTrue="1" operator="lessThanOrEqual">
      <formula>1</formula>
    </cfRule>
  </conditionalFormatting>
  <conditionalFormatting sqref="AQ43">
    <cfRule type="cellIs" dxfId="703" priority="42" stopIfTrue="1" operator="lessThan">
      <formula>0</formula>
    </cfRule>
    <cfRule type="cellIs" dxfId="702" priority="43" operator="greaterThanOrEqual">
      <formula>0</formula>
    </cfRule>
  </conditionalFormatting>
  <conditionalFormatting sqref="F34">
    <cfRule type="cellIs" dxfId="701" priority="38" operator="equal">
      <formula>$R$1</formula>
    </cfRule>
    <cfRule type="cellIs" dxfId="700" priority="39" operator="equal">
      <formula>$M$1</formula>
    </cfRule>
  </conditionalFormatting>
  <conditionalFormatting sqref="J34">
    <cfRule type="cellIs" dxfId="699" priority="35" operator="equal">
      <formula>$R$1</formula>
    </cfRule>
    <cfRule type="cellIs" dxfId="698" priority="36" operator="equal">
      <formula>$M$1</formula>
    </cfRule>
  </conditionalFormatting>
  <conditionalFormatting sqref="N34">
    <cfRule type="cellIs" dxfId="697" priority="32" operator="equal">
      <formula>$R$1</formula>
    </cfRule>
    <cfRule type="cellIs" dxfId="696" priority="33" operator="equal">
      <formula>$M$1</formula>
    </cfRule>
  </conditionalFormatting>
  <conditionalFormatting sqref="R34">
    <cfRule type="cellIs" dxfId="695" priority="29" operator="equal">
      <formula>$R$1</formula>
    </cfRule>
    <cfRule type="cellIs" dxfId="694" priority="30" operator="equal">
      <formula>$M$1</formula>
    </cfRule>
  </conditionalFormatting>
  <conditionalFormatting sqref="V34">
    <cfRule type="cellIs" dxfId="693" priority="26" operator="equal">
      <formula>$R$1</formula>
    </cfRule>
    <cfRule type="cellIs" dxfId="692" priority="27" operator="equal">
      <formula>$M$1</formula>
    </cfRule>
  </conditionalFormatting>
  <conditionalFormatting sqref="Z34">
    <cfRule type="cellIs" dxfId="691" priority="23" operator="equal">
      <formula>$R$1</formula>
    </cfRule>
    <cfRule type="cellIs" dxfId="690" priority="24" operator="equal">
      <formula>$M$1</formula>
    </cfRule>
  </conditionalFormatting>
  <conditionalFormatting sqref="AD34">
    <cfRule type="cellIs" dxfId="689" priority="20" operator="equal">
      <formula>$R$1</formula>
    </cfRule>
    <cfRule type="cellIs" dxfId="688" priority="21" operator="equal">
      <formula>$M$1</formula>
    </cfRule>
  </conditionalFormatting>
  <conditionalFormatting sqref="AH34">
    <cfRule type="cellIs" dxfId="687" priority="17" operator="equal">
      <formula>$R$1</formula>
    </cfRule>
    <cfRule type="cellIs" dxfId="686" priority="18" operator="equal">
      <formula>$M$1</formula>
    </cfRule>
  </conditionalFormatting>
  <conditionalFormatting sqref="AL34">
    <cfRule type="cellIs" dxfId="685" priority="14" operator="equal">
      <formula>$R$1</formula>
    </cfRule>
    <cfRule type="cellIs" dxfId="684" priority="15" operator="equal">
      <formula>$M$1</formula>
    </cfRule>
  </conditionalFormatting>
  <conditionalFormatting sqref="AP34">
    <cfRule type="cellIs" dxfId="683" priority="11" operator="equal">
      <formula>$R$1</formula>
    </cfRule>
    <cfRule type="cellIs" dxfId="682" priority="12" operator="equal">
      <formula>$M$1</formula>
    </cfRule>
  </conditionalFormatting>
  <conditionalFormatting sqref="AT34">
    <cfRule type="cellIs" dxfId="681" priority="8" operator="equal">
      <formula>$R$1</formula>
    </cfRule>
    <cfRule type="cellIs" dxfId="680" priority="9" operator="equal">
      <formula>$M$1</formula>
    </cfRule>
  </conditionalFormatting>
  <pageMargins left="0.7" right="0.7" top="0.78740157499999996" bottom="0.78740157499999996" header="0.3" footer="0.3"/>
  <ignoredErrors>
    <ignoredError sqref="F42:G42" formulaRange="1"/>
  </ignoredErrors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" operator="equal" id="{DBE1FF62-325E-4E70-9A3F-56B035EAF941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40" operator="equal" id="{5AF9FAD1-68A5-4492-8FED-07114E0FFA2D}">
            <xm:f>MAX('08'!$B$34,'09'!$B$34,$B$34,'11'!$B$34,'12'!$B$34)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82" operator="equal" id="{D9441863-7A4C-4F2A-9719-5B02A9367BE7}">
            <xm:f>MAX('08'!$C$34,'09'!$C$34,$C$34,'11'!$C$34)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81" operator="equal" id="{FE3B7B10-FD4A-44E1-9A4F-1D5880A538BC}">
            <xm:f>MAX('08'!$F$34,'09'!$G$34,$C$34,'11'!$G$34)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80" operator="equal" id="{4CE1F335-B3D2-4F17-B944-9EF91ACB5798}">
            <xm:f>MAX('08'!$I$34,'09'!$K$34,$K$34,'11'!$K$34)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79" operator="equal" id="{E1B2BFCB-F9E1-4520-A836-64A4795C601B}">
            <xm:f>MAX('08'!$L$34,'09'!$O$34,$O$34,'12'!$O$34)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78" operator="equal" id="{2D2E1989-A9A3-4B60-B953-E0B2172CEC04}">
            <xm:f>MAX('08'!$O$34,'09'!$S$34,$S$34,'11'!$S$34)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77" operator="equal" id="{48101C66-3150-4EB1-A768-0BA259EC14BD}">
            <xm:f>MAX('08'!$R$34,'09'!$W$34,$W$34,'11'!$W$34)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76" operator="equal" id="{89015ABF-8DD6-4FF1-B266-7E3EBB7D5323}">
            <xm:f>MAX('08'!$U$34,'09'!$AA$34,$C$34,'11'!$AA$34)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75" operator="equal" id="{5057D9FD-9216-48F6-A072-93BE630DC0D9}">
            <xm:f>MAX('08'!$X$34,'09'!$AE$34,$AE$34,'11'!$AE$34)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74" operator="equal" id="{3CF54145-CA8C-463A-991D-89AA5AE582A5}">
            <xm:f>MAX('08'!$AA$34,'09'!$AI$34,$AI$34,'11'!$AI$34)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73" operator="equal" id="{352A3BCD-7AF4-484A-832F-34ED7487C2CB}">
            <xm:f>MAX('08'!$AD$34,'09'!$AM$34,$AM$34,'11'!$AM$34)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72" operator="equal" id="{8121B029-F985-487F-B51C-AC9A95B1E447}">
            <xm:f>MAX('08'!$AG$34,'09'!$AQ$34,$AQ$34,'11'!$AQ$34)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165" operator="equal" id="{7777215D-F6ED-4D97-8937-D279A08D166C}">
            <xm:f>MAX('08'!$AJ$34,'09'!$AU$34,$AU$34,'11'!$AU$34)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58" operator="equal" id="{4AA89053-F672-4C1D-82F4-90D088A0CB64}">
            <xm:f>MAX('08'!$AJ$35,'09'!$AU$35,$AU$35,'11'!$AU$35,'12'!$AU$35)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41" operator="equal" id="{72A62F6D-752E-42E4-8469-F5B58E91A584}">
            <xm:f>MAX($B$1,'08'!$C$1:$D$1,'09'!$B$1:$C$1,'11'!$B$1:$C$1,'12'!$B$1:$C$1)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37" operator="equal" id="{2C93BAD9-B44D-4C91-9E44-57F2523FD751}">
            <xm:f>MAX('08'!$E$34,'09'!$F$34,$F$34,'11'!$F$34,'12'!$F$34)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34" operator="equal" id="{C7BD0B5E-3025-4ADE-8C2D-2D2F608F0387}">
            <xm:f>MAX('08'!$H$34,'09'!$J$34,$J$34,'11'!$J$34,'12'!$J$34)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31" operator="equal" id="{D26B9957-2402-4E46-9707-5C6C0659527B}">
            <xm:f>MAX('08'!$K$34,'09'!$N$34,$N$34,'11'!$N$34,'12'!$N$34)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28" operator="equal" id="{F2963B63-CBFE-4F00-B369-97461FF8E544}">
            <xm:f>MAX('08'!$N$34,'09'!$R$34,$R$34,'11'!$R$34,'12'!$R$34)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25" operator="equal" id="{E0046D4A-D186-4C28-BDFE-CBD636350CBD}">
            <xm:f>MAX('08'!$Q$34,'09'!$V$34,$V$34,'11'!$V$34,'12'!$V$34)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22" operator="equal" id="{1FD6BF24-2986-4C54-A4AB-92005F3B58DB}">
            <xm:f>MAX('08'!$T$34,'09'!$Z$34,$Z$34,'11'!$Z$34,'12'!$Z$34)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9" operator="equal" id="{A6B0D210-64F2-47D8-9AB4-CDADEBF0B783}">
            <xm:f>MAX('08'!$W$34,'09'!$AD$34,$AD$34,'11'!$AD$34,'12'!$AD$34)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16" operator="equal" id="{1AE33CF3-E4E0-437E-9FE4-84322B500E5D}">
            <xm:f>MAX('08'!$Z$34,'09'!$AH$34,$AH$34,'11'!$AH$34,'12'!$AH$34)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13" operator="equal" id="{829467F2-FBC8-4F17-BA1B-1426606F1735}">
            <xm:f>MAX('08'!$AC$34,'09'!$AL$34,$AL$34,'11'!$AL$34,'12'!$AL$34)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10" operator="equal" id="{B3861715-E0ED-451E-B8EF-33DD35327340}">
            <xm:f>MAX('08'!$AF$34,'09'!$AP$34,$AP$34,'11'!$AP$34,'12'!$AP$34)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7" operator="equal" id="{5927CFF4-945F-4E75-AAAB-DC604AEA2E52}">
            <xm:f>MAX('08'!$AI$34,'09'!$AT$34,$AT$34,'11'!$AT$34,'12'!$AT$34)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5" operator="equal" id="{2DCB3E92-3753-4151-A649-955AA83BDC1F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2" operator="equal" id="{3D1DCEE7-88F0-454A-B7D6-B74DB29EC96F}">
            <xm:f>MAX('13'!$AR$1,'12'!$AR$1,'11'!$AR$1,$AR$1,'09'!$AR$1)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1" operator="equal" id="{E6A6FC17-1261-46F2-B348-6AC48F4936EA}">
            <xm:f>stat!$N$14</xm:f>
            <x14:dxf>
              <font>
                <b val="0"/>
                <i/>
              </font>
            </x14:dxf>
          </x14:cfRule>
          <xm:sqref>N43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66FF"/>
  </sheetPr>
  <dimension ref="A1:N4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baseColWidth="10" defaultColWidth="11.42578125" defaultRowHeight="12.75" x14ac:dyDescent="0.2"/>
  <cols>
    <col min="1" max="1" width="38.5703125" style="1" customWidth="1"/>
    <col min="2" max="2" width="9.28515625" style="2" customWidth="1"/>
    <col min="3" max="3" width="8.28515625" style="11" customWidth="1"/>
    <col min="4" max="4" width="8" customWidth="1"/>
    <col min="5" max="5" width="8" style="12" customWidth="1"/>
    <col min="6" max="7" width="10.28515625" bestFit="1" customWidth="1"/>
    <col min="8" max="8" width="5.85546875" customWidth="1"/>
    <col min="9" max="9" width="9.140625" style="18" bestFit="1" customWidth="1"/>
    <col min="10" max="10" width="5.7109375" style="46" bestFit="1" customWidth="1"/>
  </cols>
  <sheetData>
    <row r="1" spans="1:13" s="33" customFormat="1" x14ac:dyDescent="0.2">
      <c r="A1" s="197" t="s">
        <v>55</v>
      </c>
      <c r="B1" s="75" t="s">
        <v>0</v>
      </c>
      <c r="C1" s="367" t="s">
        <v>243</v>
      </c>
      <c r="D1" s="76" t="s">
        <v>2</v>
      </c>
      <c r="E1" s="23" t="s">
        <v>242</v>
      </c>
      <c r="F1" s="76" t="s">
        <v>24</v>
      </c>
      <c r="G1" s="76" t="s">
        <v>1</v>
      </c>
      <c r="H1" s="24" t="s">
        <v>3</v>
      </c>
      <c r="I1" s="80" t="s">
        <v>22</v>
      </c>
      <c r="J1" s="41"/>
    </row>
    <row r="2" spans="1:13" x14ac:dyDescent="0.2">
      <c r="A2" s="1" t="s">
        <v>790</v>
      </c>
      <c r="B2" s="2">
        <v>0.20694444444444446</v>
      </c>
      <c r="C2" s="11">
        <v>130</v>
      </c>
      <c r="D2">
        <v>260</v>
      </c>
      <c r="E2" s="12">
        <v>26.174496644295296</v>
      </c>
      <c r="F2" s="13">
        <v>126</v>
      </c>
      <c r="G2" s="13">
        <v>180</v>
      </c>
      <c r="H2" s="6" t="s">
        <v>398</v>
      </c>
      <c r="I2" s="18">
        <f t="shared" ref="I2:I41" si="0">D2/(C2*1000)</f>
        <v>2E-3</v>
      </c>
    </row>
    <row r="3" spans="1:13" x14ac:dyDescent="0.2">
      <c r="A3" s="1" t="s">
        <v>945</v>
      </c>
      <c r="B3" s="2">
        <v>0.25</v>
      </c>
      <c r="C3" s="11">
        <v>123</v>
      </c>
      <c r="D3" s="84">
        <v>250</v>
      </c>
      <c r="E3" s="12">
        <v>20.5</v>
      </c>
      <c r="F3" s="84">
        <v>126</v>
      </c>
      <c r="G3" s="84">
        <v>150</v>
      </c>
      <c r="H3" s="85" t="s">
        <v>398</v>
      </c>
      <c r="I3" s="18">
        <f t="shared" si="0"/>
        <v>2.0325203252032522E-3</v>
      </c>
    </row>
    <row r="4" spans="1:13" x14ac:dyDescent="0.2">
      <c r="A4" s="1" t="s">
        <v>839</v>
      </c>
      <c r="B4" s="2">
        <v>0.21029874213836477</v>
      </c>
      <c r="C4" s="11">
        <v>107</v>
      </c>
      <c r="D4" s="13">
        <v>220</v>
      </c>
      <c r="E4" s="12">
        <v>21.2</v>
      </c>
      <c r="F4" s="13">
        <v>126</v>
      </c>
      <c r="G4" s="13">
        <v>150</v>
      </c>
      <c r="H4" s="6" t="s">
        <v>398</v>
      </c>
      <c r="I4" s="18">
        <f t="shared" si="0"/>
        <v>2.0560747663551401E-3</v>
      </c>
    </row>
    <row r="5" spans="1:13" x14ac:dyDescent="0.2">
      <c r="A5" s="1" t="s">
        <v>821</v>
      </c>
      <c r="B5" s="2">
        <v>0.17708333333333334</v>
      </c>
      <c r="C5" s="11">
        <v>96.2</v>
      </c>
      <c r="D5" s="13">
        <v>190</v>
      </c>
      <c r="E5" s="12">
        <v>22.635294117647057</v>
      </c>
      <c r="F5" s="84">
        <v>126</v>
      </c>
      <c r="G5" s="84">
        <v>150</v>
      </c>
      <c r="H5" s="85" t="s">
        <v>398</v>
      </c>
      <c r="I5" s="18">
        <f t="shared" si="0"/>
        <v>1.9750519750519752E-3</v>
      </c>
    </row>
    <row r="6" spans="1:13" x14ac:dyDescent="0.2">
      <c r="A6" s="1" t="s">
        <v>780</v>
      </c>
      <c r="B6" s="2">
        <v>0.16111111111111112</v>
      </c>
      <c r="C6" s="14">
        <v>88</v>
      </c>
      <c r="D6" s="13">
        <v>180</v>
      </c>
      <c r="E6" s="12">
        <v>22.758620689655171</v>
      </c>
      <c r="F6" s="13">
        <v>126</v>
      </c>
      <c r="G6" s="13">
        <v>150</v>
      </c>
      <c r="H6" s="6" t="s">
        <v>398</v>
      </c>
      <c r="I6" s="18">
        <f t="shared" si="0"/>
        <v>2.0454545454545456E-3</v>
      </c>
    </row>
    <row r="7" spans="1:13" x14ac:dyDescent="0.2">
      <c r="A7" s="1" t="s">
        <v>222</v>
      </c>
      <c r="B7" s="2">
        <v>0.13473379629629631</v>
      </c>
      <c r="C7" s="11">
        <v>82.72</v>
      </c>
      <c r="D7" s="13">
        <v>70</v>
      </c>
      <c r="E7" s="9">
        <v>25.5</v>
      </c>
      <c r="F7" s="13">
        <v>110</v>
      </c>
      <c r="G7" s="13">
        <v>130</v>
      </c>
      <c r="H7" s="6" t="s">
        <v>5</v>
      </c>
      <c r="I7" s="18">
        <f t="shared" si="0"/>
        <v>8.4622823984526114E-4</v>
      </c>
    </row>
    <row r="8" spans="1:13" x14ac:dyDescent="0.2">
      <c r="A8" s="1" t="s">
        <v>471</v>
      </c>
      <c r="B8" s="2">
        <v>0.14100694444444445</v>
      </c>
      <c r="C8" s="11">
        <v>80.13</v>
      </c>
      <c r="D8" s="13">
        <v>55</v>
      </c>
      <c r="E8" s="9">
        <v>23.6</v>
      </c>
      <c r="F8" s="13">
        <v>110</v>
      </c>
      <c r="G8" s="13">
        <v>130</v>
      </c>
      <c r="H8" s="231" t="s">
        <v>5</v>
      </c>
      <c r="I8" s="18">
        <f t="shared" si="0"/>
        <v>6.8638462498440034E-4</v>
      </c>
    </row>
    <row r="9" spans="1:13" x14ac:dyDescent="0.2">
      <c r="A9" s="1" t="s">
        <v>223</v>
      </c>
      <c r="B9" s="2">
        <v>0.12418981481481482</v>
      </c>
      <c r="C9" s="3">
        <v>78.14</v>
      </c>
      <c r="D9" s="84">
        <v>65</v>
      </c>
      <c r="E9" s="9">
        <v>26.2</v>
      </c>
      <c r="F9" s="8">
        <v>115</v>
      </c>
      <c r="G9" s="8">
        <v>130</v>
      </c>
      <c r="H9" s="6" t="s">
        <v>5</v>
      </c>
      <c r="I9" s="18">
        <f t="shared" si="0"/>
        <v>8.3184028666496036E-4</v>
      </c>
    </row>
    <row r="10" spans="1:13" x14ac:dyDescent="0.2">
      <c r="A10" s="1" t="s">
        <v>741</v>
      </c>
      <c r="B10" s="2">
        <v>0.1463963963963964</v>
      </c>
      <c r="C10" s="14">
        <v>78</v>
      </c>
      <c r="D10" s="13">
        <v>150</v>
      </c>
      <c r="E10" s="12">
        <v>22.2</v>
      </c>
      <c r="F10" s="13">
        <v>126</v>
      </c>
      <c r="G10" s="13">
        <v>150</v>
      </c>
      <c r="H10" s="6" t="s">
        <v>398</v>
      </c>
      <c r="I10" s="18">
        <f t="shared" si="0"/>
        <v>1.9230769230769232E-3</v>
      </c>
    </row>
    <row r="11" spans="1:13" x14ac:dyDescent="0.2">
      <c r="A11" s="1" t="s">
        <v>939</v>
      </c>
      <c r="B11" s="2">
        <v>0.10972222222222222</v>
      </c>
      <c r="C11" s="11">
        <v>71</v>
      </c>
      <c r="D11" s="13">
        <v>150</v>
      </c>
      <c r="E11" s="12">
        <v>26.962025316455694</v>
      </c>
      <c r="F11" s="13">
        <v>126</v>
      </c>
      <c r="G11" s="13">
        <v>157</v>
      </c>
      <c r="H11" s="6" t="s">
        <v>5</v>
      </c>
      <c r="I11" s="18">
        <f t="shared" si="0"/>
        <v>2.112676056338028E-3</v>
      </c>
      <c r="J11" s="48"/>
      <c r="M11" s="46"/>
    </row>
    <row r="12" spans="1:13" x14ac:dyDescent="0.2">
      <c r="A12" s="1" t="s">
        <v>899</v>
      </c>
      <c r="B12" s="2">
        <v>0.13125381097560979</v>
      </c>
      <c r="C12" s="11">
        <v>66.66</v>
      </c>
      <c r="D12" s="13">
        <v>130</v>
      </c>
      <c r="E12" s="12">
        <v>21.161290322580641</v>
      </c>
      <c r="F12" s="13">
        <v>126</v>
      </c>
      <c r="G12" s="13">
        <v>150</v>
      </c>
      <c r="H12" s="85" t="s">
        <v>398</v>
      </c>
      <c r="I12" s="18">
        <f t="shared" si="0"/>
        <v>1.9501950195019502E-3</v>
      </c>
      <c r="M12" s="46"/>
    </row>
    <row r="13" spans="1:13" x14ac:dyDescent="0.2">
      <c r="A13" s="1" t="s">
        <v>126</v>
      </c>
      <c r="B13" s="2">
        <v>9.6180555555555561E-2</v>
      </c>
      <c r="C13" s="120">
        <v>63.72</v>
      </c>
      <c r="D13" s="13">
        <v>45</v>
      </c>
      <c r="E13" s="9">
        <v>27.6</v>
      </c>
      <c r="F13" s="13">
        <v>117</v>
      </c>
      <c r="G13" s="13">
        <v>130</v>
      </c>
      <c r="H13" s="6" t="s">
        <v>5</v>
      </c>
      <c r="I13" s="18">
        <f t="shared" si="0"/>
        <v>7.0621468926553672E-4</v>
      </c>
    </row>
    <row r="14" spans="1:13" x14ac:dyDescent="0.2">
      <c r="A14" s="1" t="s">
        <v>476</v>
      </c>
      <c r="B14" s="2">
        <v>9.8275462962962967E-2</v>
      </c>
      <c r="C14" s="3">
        <v>60.12</v>
      </c>
      <c r="D14" s="5">
        <v>30</v>
      </c>
      <c r="E14" s="9">
        <v>25.4</v>
      </c>
      <c r="F14" s="13">
        <v>115</v>
      </c>
      <c r="G14" s="13">
        <v>130</v>
      </c>
      <c r="H14" s="6" t="s">
        <v>5</v>
      </c>
      <c r="I14" s="18">
        <f t="shared" si="0"/>
        <v>4.9900199600798399E-4</v>
      </c>
    </row>
    <row r="15" spans="1:13" x14ac:dyDescent="0.2">
      <c r="A15" s="1" t="s">
        <v>477</v>
      </c>
      <c r="B15" s="2">
        <v>8.925925925925926E-2</v>
      </c>
      <c r="C15" s="3">
        <v>50.84</v>
      </c>
      <c r="D15" s="8">
        <v>27</v>
      </c>
      <c r="E15" s="4">
        <v>23.7</v>
      </c>
      <c r="F15" s="13">
        <v>116</v>
      </c>
      <c r="G15" s="13">
        <v>130</v>
      </c>
      <c r="H15" s="231" t="s">
        <v>6</v>
      </c>
      <c r="I15" s="18">
        <f t="shared" si="0"/>
        <v>5.3107789142407553E-4</v>
      </c>
    </row>
    <row r="16" spans="1:13" x14ac:dyDescent="0.2">
      <c r="A16" s="1" t="s">
        <v>295</v>
      </c>
      <c r="B16" s="2">
        <v>8.1157407407407414E-2</v>
      </c>
      <c r="C16" s="14">
        <v>50</v>
      </c>
      <c r="D16" s="13">
        <v>45</v>
      </c>
      <c r="E16" s="9">
        <v>25.670279520821442</v>
      </c>
      <c r="F16" s="13">
        <v>118</v>
      </c>
      <c r="G16" s="13">
        <v>140</v>
      </c>
      <c r="H16" s="231" t="s">
        <v>5</v>
      </c>
      <c r="I16" s="18">
        <f t="shared" si="0"/>
        <v>8.9999999999999998E-4</v>
      </c>
    </row>
    <row r="17" spans="1:14" x14ac:dyDescent="0.2">
      <c r="A17" s="1" t="s">
        <v>740</v>
      </c>
      <c r="B17" s="2">
        <v>9.375E-2</v>
      </c>
      <c r="C17" s="3">
        <v>50</v>
      </c>
      <c r="D17" s="13">
        <v>110</v>
      </c>
      <c r="E17" s="12">
        <v>22.222222222222218</v>
      </c>
      <c r="F17" s="13">
        <v>126</v>
      </c>
      <c r="G17" s="13">
        <v>150</v>
      </c>
      <c r="H17" s="233" t="s">
        <v>398</v>
      </c>
      <c r="I17" s="18">
        <f t="shared" si="0"/>
        <v>2.2000000000000001E-3</v>
      </c>
    </row>
    <row r="18" spans="1:14" x14ac:dyDescent="0.2">
      <c r="A18" s="1" t="s">
        <v>949</v>
      </c>
      <c r="B18" s="2">
        <v>8.3333333333333329E-2</v>
      </c>
      <c r="C18" s="14">
        <v>44</v>
      </c>
      <c r="D18" s="13">
        <v>85</v>
      </c>
      <c r="E18" s="9">
        <v>22</v>
      </c>
      <c r="F18" s="8">
        <v>118</v>
      </c>
      <c r="G18" s="8">
        <v>175</v>
      </c>
      <c r="H18" s="6" t="s">
        <v>398</v>
      </c>
      <c r="I18" s="18">
        <f t="shared" si="0"/>
        <v>1.9318181818181819E-3</v>
      </c>
    </row>
    <row r="19" spans="1:14" x14ac:dyDescent="0.2">
      <c r="A19" s="1" t="s">
        <v>478</v>
      </c>
      <c r="B19" s="2">
        <v>6.957175925925925E-2</v>
      </c>
      <c r="C19" s="11">
        <v>40.4</v>
      </c>
      <c r="D19" s="13">
        <v>25</v>
      </c>
      <c r="E19" s="9">
        <v>24.2</v>
      </c>
      <c r="F19" s="13">
        <v>117</v>
      </c>
      <c r="G19" s="13">
        <v>130</v>
      </c>
      <c r="H19" s="6" t="s">
        <v>5</v>
      </c>
      <c r="I19" s="18">
        <f t="shared" si="0"/>
        <v>6.1881188118811882E-4</v>
      </c>
      <c r="J19" s="12"/>
    </row>
    <row r="20" spans="1:14" x14ac:dyDescent="0.2">
      <c r="A20" s="1" t="s">
        <v>265</v>
      </c>
      <c r="B20" s="2">
        <v>7.7326388888888889E-2</v>
      </c>
      <c r="C20" s="14">
        <v>40</v>
      </c>
      <c r="D20" s="13">
        <v>105</v>
      </c>
      <c r="E20" s="9">
        <v>21.6</v>
      </c>
      <c r="F20" s="8">
        <v>126</v>
      </c>
      <c r="G20" s="8">
        <v>155</v>
      </c>
      <c r="H20" s="6" t="s">
        <v>6</v>
      </c>
      <c r="I20" s="18">
        <f t="shared" si="0"/>
        <v>2.6250000000000002E-3</v>
      </c>
      <c r="J20" s="12"/>
    </row>
    <row r="21" spans="1:14" x14ac:dyDescent="0.2">
      <c r="A21" s="1" t="s">
        <v>656</v>
      </c>
      <c r="B21" s="2">
        <v>7.3746312684365767E-2</v>
      </c>
      <c r="C21" s="14">
        <v>40</v>
      </c>
      <c r="D21" s="13">
        <v>35</v>
      </c>
      <c r="E21" s="9">
        <v>22.6</v>
      </c>
      <c r="F21" s="13">
        <v>118</v>
      </c>
      <c r="G21" s="13">
        <v>130</v>
      </c>
      <c r="H21" s="6" t="s">
        <v>398</v>
      </c>
      <c r="I21" s="18">
        <f t="shared" si="0"/>
        <v>8.7500000000000002E-4</v>
      </c>
    </row>
    <row r="22" spans="1:14" x14ac:dyDescent="0.2">
      <c r="A22" s="1" t="s">
        <v>262</v>
      </c>
      <c r="B22" s="2">
        <v>6.7663817663817655E-2</v>
      </c>
      <c r="C22" s="14">
        <v>38</v>
      </c>
      <c r="D22" s="8">
        <v>25</v>
      </c>
      <c r="E22" s="9">
        <v>23.4</v>
      </c>
      <c r="F22" s="13">
        <v>117</v>
      </c>
      <c r="G22" s="13">
        <v>130</v>
      </c>
      <c r="H22" s="6" t="s">
        <v>6</v>
      </c>
      <c r="I22" s="18">
        <f t="shared" si="0"/>
        <v>6.5789473684210525E-4</v>
      </c>
    </row>
    <row r="23" spans="1:14" x14ac:dyDescent="0.2">
      <c r="A23" s="1" t="s">
        <v>224</v>
      </c>
      <c r="B23" s="2">
        <v>6.3738425925925921E-2</v>
      </c>
      <c r="C23" s="3">
        <v>32.53</v>
      </c>
      <c r="D23" s="13">
        <v>20</v>
      </c>
      <c r="E23" s="9">
        <v>21.2</v>
      </c>
      <c r="F23" s="13">
        <v>119</v>
      </c>
      <c r="G23" s="13">
        <v>130</v>
      </c>
      <c r="H23" s="6" t="s">
        <v>6</v>
      </c>
      <c r="I23" s="18">
        <f t="shared" si="0"/>
        <v>6.1481709191515521E-4</v>
      </c>
      <c r="K23" s="9"/>
      <c r="N23" s="46"/>
    </row>
    <row r="24" spans="1:14" x14ac:dyDescent="0.2">
      <c r="A24" s="1" t="s">
        <v>636</v>
      </c>
      <c r="B24" s="2">
        <v>5.347222222222222E-2</v>
      </c>
      <c r="C24" s="3">
        <v>30.799999999999997</v>
      </c>
      <c r="D24" s="13">
        <v>40</v>
      </c>
      <c r="E24" s="278">
        <v>24</v>
      </c>
      <c r="F24" s="13">
        <v>120</v>
      </c>
      <c r="G24" s="13">
        <v>130</v>
      </c>
      <c r="H24" s="6" t="s">
        <v>398</v>
      </c>
      <c r="I24" s="18">
        <f t="shared" si="0"/>
        <v>1.2987012987012989E-3</v>
      </c>
      <c r="K24" s="9"/>
      <c r="N24" s="46"/>
    </row>
    <row r="25" spans="1:14" x14ac:dyDescent="0.2">
      <c r="A25" s="1" t="s">
        <v>479</v>
      </c>
      <c r="B25" s="2">
        <v>4.9641203703703701E-2</v>
      </c>
      <c r="C25" s="14">
        <v>30.32</v>
      </c>
      <c r="D25" s="8">
        <v>20</v>
      </c>
      <c r="E25" s="9">
        <v>25.4</v>
      </c>
      <c r="F25" s="13">
        <v>119</v>
      </c>
      <c r="G25" s="13">
        <v>130</v>
      </c>
      <c r="H25" s="6" t="s">
        <v>6</v>
      </c>
      <c r="I25" s="18">
        <f t="shared" si="0"/>
        <v>6.5963060686015829E-4</v>
      </c>
    </row>
    <row r="26" spans="1:14" x14ac:dyDescent="0.2">
      <c r="A26" s="1" t="s">
        <v>772</v>
      </c>
      <c r="B26" s="2">
        <v>6.1111111111111116E-2</v>
      </c>
      <c r="C26" s="14">
        <v>30</v>
      </c>
      <c r="D26" s="13">
        <v>45</v>
      </c>
      <c r="E26" s="12">
        <v>20.5</v>
      </c>
      <c r="F26" s="13">
        <v>120</v>
      </c>
      <c r="G26" s="13">
        <v>130</v>
      </c>
      <c r="H26" s="6" t="s">
        <v>645</v>
      </c>
      <c r="I26" s="18">
        <f t="shared" si="0"/>
        <v>1.5E-3</v>
      </c>
    </row>
    <row r="27" spans="1:14" x14ac:dyDescent="0.2">
      <c r="A27" s="1" t="s">
        <v>220</v>
      </c>
      <c r="B27" s="2">
        <v>5.4618055555555552E-2</v>
      </c>
      <c r="C27" s="3">
        <v>27.72</v>
      </c>
      <c r="D27" s="13">
        <v>70</v>
      </c>
      <c r="E27" s="4">
        <v>21.1</v>
      </c>
      <c r="F27" s="13">
        <v>126</v>
      </c>
      <c r="G27" s="13">
        <v>150</v>
      </c>
      <c r="H27" s="6" t="s">
        <v>6</v>
      </c>
      <c r="I27" s="18">
        <f t="shared" si="0"/>
        <v>2.5252525252525255E-3</v>
      </c>
    </row>
    <row r="28" spans="1:14" x14ac:dyDescent="0.2">
      <c r="A28" s="1" t="s">
        <v>584</v>
      </c>
      <c r="B28" s="2">
        <v>4.50462962962963E-2</v>
      </c>
      <c r="C28" s="11">
        <v>25.68</v>
      </c>
      <c r="D28" s="13">
        <v>15</v>
      </c>
      <c r="E28" s="9">
        <v>23.7</v>
      </c>
      <c r="F28" s="13">
        <v>130</v>
      </c>
      <c r="G28" s="13">
        <v>130</v>
      </c>
      <c r="H28" s="6" t="s">
        <v>6</v>
      </c>
      <c r="I28" s="18">
        <f t="shared" si="0"/>
        <v>5.8411214953271024E-4</v>
      </c>
    </row>
    <row r="29" spans="1:14" x14ac:dyDescent="0.2">
      <c r="A29" s="1" t="s">
        <v>819</v>
      </c>
      <c r="B29" s="2">
        <v>6.9722222222222213E-2</v>
      </c>
      <c r="C29" s="11">
        <v>25.1</v>
      </c>
      <c r="D29">
        <v>80</v>
      </c>
      <c r="E29" s="12">
        <v>15</v>
      </c>
      <c r="F29" s="13">
        <v>127</v>
      </c>
      <c r="G29" s="13">
        <v>150</v>
      </c>
      <c r="H29" s="6" t="s">
        <v>6</v>
      </c>
      <c r="I29" s="18">
        <f t="shared" si="0"/>
        <v>3.1872509960159364E-3</v>
      </c>
    </row>
    <row r="30" spans="1:14" x14ac:dyDescent="0.2">
      <c r="A30" s="1" t="s">
        <v>637</v>
      </c>
      <c r="B30" s="2">
        <v>4.1030092592592597E-2</v>
      </c>
      <c r="C30" s="3">
        <v>24.66</v>
      </c>
      <c r="D30" s="8">
        <v>25</v>
      </c>
      <c r="E30" s="4">
        <v>25</v>
      </c>
      <c r="F30" s="13">
        <v>130</v>
      </c>
      <c r="G30" s="13">
        <v>130</v>
      </c>
      <c r="H30" s="6" t="s">
        <v>6</v>
      </c>
      <c r="I30" s="18">
        <f t="shared" si="0"/>
        <v>1.013787510137875E-3</v>
      </c>
    </row>
    <row r="31" spans="1:14" x14ac:dyDescent="0.2">
      <c r="A31" s="1" t="s">
        <v>178</v>
      </c>
      <c r="B31" s="2">
        <v>3.5763888888888887E-2</v>
      </c>
      <c r="C31" s="3">
        <v>23.13</v>
      </c>
      <c r="D31" s="13">
        <v>60</v>
      </c>
      <c r="E31" s="9">
        <v>26.9</v>
      </c>
      <c r="F31" s="13">
        <v>130</v>
      </c>
      <c r="G31" s="13">
        <v>185</v>
      </c>
      <c r="H31" s="6" t="s">
        <v>5</v>
      </c>
      <c r="I31" s="18">
        <f t="shared" si="0"/>
        <v>2.5940337224383916E-3</v>
      </c>
    </row>
    <row r="32" spans="1:14" x14ac:dyDescent="0.2">
      <c r="A32" s="1" t="s">
        <v>856</v>
      </c>
      <c r="B32" s="2">
        <v>2.8472222222222222E-2</v>
      </c>
      <c r="C32" s="11">
        <v>21.6</v>
      </c>
      <c r="D32" s="84">
        <v>80</v>
      </c>
      <c r="E32" s="12">
        <v>31.609756097560975</v>
      </c>
      <c r="F32" s="84">
        <v>128</v>
      </c>
      <c r="G32" s="84">
        <v>181</v>
      </c>
      <c r="H32" s="85" t="s">
        <v>5</v>
      </c>
      <c r="I32" s="18">
        <f t="shared" si="0"/>
        <v>3.7037037037037038E-3</v>
      </c>
    </row>
    <row r="33" spans="1:9" x14ac:dyDescent="0.2">
      <c r="A33" s="1" t="s">
        <v>585</v>
      </c>
      <c r="B33" s="2">
        <v>3.6932870370370366E-2</v>
      </c>
      <c r="C33" s="11">
        <v>20.25</v>
      </c>
      <c r="D33" s="8">
        <v>20</v>
      </c>
      <c r="E33" s="9">
        <v>22.8</v>
      </c>
      <c r="F33" s="13">
        <v>122</v>
      </c>
      <c r="G33" s="13">
        <v>130</v>
      </c>
      <c r="H33" s="6" t="s">
        <v>6</v>
      </c>
      <c r="I33" s="18">
        <f t="shared" si="0"/>
        <v>9.8765432098765434E-4</v>
      </c>
    </row>
    <row r="34" spans="1:9" x14ac:dyDescent="0.2">
      <c r="A34" s="1" t="s">
        <v>406</v>
      </c>
      <c r="B34" s="2">
        <v>4.9918981481481474E-2</v>
      </c>
      <c r="C34" s="3">
        <v>20.2</v>
      </c>
      <c r="D34" s="13">
        <v>30</v>
      </c>
      <c r="E34" s="9">
        <v>16.8</v>
      </c>
      <c r="F34" s="13">
        <v>122</v>
      </c>
      <c r="G34" s="13">
        <v>130</v>
      </c>
      <c r="H34" s="231" t="s">
        <v>6</v>
      </c>
      <c r="I34" s="18">
        <f t="shared" si="0"/>
        <v>1.4851485148514852E-3</v>
      </c>
    </row>
    <row r="35" spans="1:9" x14ac:dyDescent="0.2">
      <c r="A35" s="1" t="s">
        <v>383</v>
      </c>
      <c r="B35" s="2">
        <v>4.1724537037037039E-2</v>
      </c>
      <c r="C35" s="3">
        <v>20.07</v>
      </c>
      <c r="D35" s="8">
        <v>30</v>
      </c>
      <c r="E35" s="9">
        <v>20</v>
      </c>
      <c r="F35" s="13">
        <v>130</v>
      </c>
      <c r="G35" s="13">
        <v>150</v>
      </c>
      <c r="H35" s="231" t="s">
        <v>6</v>
      </c>
      <c r="I35" s="18">
        <f t="shared" si="0"/>
        <v>1.4947683109118087E-3</v>
      </c>
    </row>
    <row r="36" spans="1:9" x14ac:dyDescent="0.2">
      <c r="A36" s="1" t="s">
        <v>393</v>
      </c>
      <c r="B36" s="2">
        <v>4.1423611111111112E-2</v>
      </c>
      <c r="C36" s="3">
        <v>20.05</v>
      </c>
      <c r="D36" s="13">
        <v>55</v>
      </c>
      <c r="E36" s="9">
        <v>20.100000000000001</v>
      </c>
      <c r="F36" s="13">
        <v>130</v>
      </c>
      <c r="G36" s="13">
        <v>168</v>
      </c>
      <c r="H36" s="6" t="s">
        <v>398</v>
      </c>
      <c r="I36" s="18">
        <f t="shared" si="0"/>
        <v>2.7431421446384042E-3</v>
      </c>
    </row>
    <row r="37" spans="1:9" x14ac:dyDescent="0.2">
      <c r="A37" s="1" t="s">
        <v>467</v>
      </c>
      <c r="B37" s="2">
        <v>3.1446540880503145E-2</v>
      </c>
      <c r="C37" s="11">
        <v>16</v>
      </c>
      <c r="D37" s="13">
        <v>52</v>
      </c>
      <c r="E37" s="9">
        <v>21.2</v>
      </c>
      <c r="F37" s="13">
        <v>130</v>
      </c>
      <c r="G37" s="13">
        <v>160</v>
      </c>
      <c r="H37" s="6" t="s">
        <v>6</v>
      </c>
      <c r="I37" s="18">
        <f t="shared" si="0"/>
        <v>3.2499999999999999E-3</v>
      </c>
    </row>
    <row r="38" spans="1:9" x14ac:dyDescent="0.2">
      <c r="A38" s="1" t="s">
        <v>466</v>
      </c>
      <c r="B38" s="2">
        <v>3.1226851851851853E-2</v>
      </c>
      <c r="C38" s="3">
        <v>15.86</v>
      </c>
      <c r="D38" s="13">
        <v>30</v>
      </c>
      <c r="E38" s="9">
        <v>21.1</v>
      </c>
      <c r="F38" s="13">
        <v>130</v>
      </c>
      <c r="G38" s="13">
        <v>160</v>
      </c>
      <c r="H38" s="233" t="s">
        <v>6</v>
      </c>
      <c r="I38" s="18">
        <f t="shared" si="0"/>
        <v>1.8915510718789407E-3</v>
      </c>
    </row>
    <row r="39" spans="1:9" x14ac:dyDescent="0.2">
      <c r="A39" s="1" t="s">
        <v>18</v>
      </c>
      <c r="B39" s="2">
        <v>1.9780092592592592E-2</v>
      </c>
      <c r="C39" s="3">
        <v>15.6</v>
      </c>
      <c r="D39" s="13">
        <v>40</v>
      </c>
      <c r="E39" s="9">
        <v>32.9</v>
      </c>
      <c r="F39">
        <v>130</v>
      </c>
      <c r="G39">
        <v>160</v>
      </c>
      <c r="H39" s="6" t="s">
        <v>5</v>
      </c>
      <c r="I39" s="18">
        <f t="shared" si="0"/>
        <v>2.5641025641025641E-3</v>
      </c>
    </row>
    <row r="40" spans="1:9" x14ac:dyDescent="0.2">
      <c r="A40" s="1" t="s">
        <v>110</v>
      </c>
      <c r="B40" s="2">
        <v>3.0335648148148143E-2</v>
      </c>
      <c r="C40" s="3">
        <v>14.4</v>
      </c>
      <c r="D40" s="13">
        <v>45</v>
      </c>
      <c r="E40" s="9">
        <v>19.778710415871807</v>
      </c>
      <c r="F40" s="13">
        <v>130</v>
      </c>
      <c r="G40" s="13">
        <v>170</v>
      </c>
      <c r="H40" s="6" t="s">
        <v>6</v>
      </c>
      <c r="I40" s="18">
        <f t="shared" si="0"/>
        <v>3.1250000000000002E-3</v>
      </c>
    </row>
    <row r="41" spans="1:9" x14ac:dyDescent="0.2">
      <c r="A41" s="1" t="s">
        <v>924</v>
      </c>
      <c r="B41" s="2">
        <v>2.8645833333333332E-2</v>
      </c>
      <c r="C41" s="11">
        <v>11</v>
      </c>
      <c r="D41" s="13">
        <v>25</v>
      </c>
      <c r="E41" s="9">
        <v>16</v>
      </c>
      <c r="F41" s="13">
        <v>126</v>
      </c>
      <c r="G41" s="13">
        <v>135</v>
      </c>
      <c r="H41" s="6" t="s">
        <v>6</v>
      </c>
      <c r="I41" s="18">
        <f t="shared" si="0"/>
        <v>2.2727272727272726E-3</v>
      </c>
    </row>
  </sheetData>
  <sortState ref="A2:I41">
    <sortCondition descending="1" ref="C1"/>
  </sortState>
  <conditionalFormatting sqref="E1:E1048576">
    <cfRule type="cellIs" dxfId="1719" priority="3" stopIfTrue="1" operator="between">
      <formula>0</formula>
      <formula>19.99</formula>
    </cfRule>
    <cfRule type="cellIs" dxfId="1718" priority="82" stopIfTrue="1" operator="between">
      <formula>10</formula>
      <formula>24.99</formula>
    </cfRule>
    <cfRule type="cellIs" dxfId="1717" priority="83" stopIfTrue="1" operator="between">
      <formula>25</formula>
      <formula>29.99</formula>
    </cfRule>
    <cfRule type="cellIs" dxfId="1716" priority="84" stopIfTrue="1" operator="between">
      <formula>30</formula>
      <formula>99.99</formula>
    </cfRule>
  </conditionalFormatting>
  <conditionalFormatting sqref="I1:I1048576">
    <cfRule type="cellIs" dxfId="1715" priority="58" stopIfTrue="1" operator="between">
      <formula>0</formula>
      <formula>0.0009999</formula>
    </cfRule>
    <cfRule type="cellIs" dxfId="1714" priority="59" stopIfTrue="1" operator="between">
      <formula>0.001</formula>
      <formula>0.0019999</formula>
    </cfRule>
    <cfRule type="cellIs" dxfId="1713" priority="2" operator="equal">
      <formula>MAX($I:$I)</formula>
    </cfRule>
    <cfRule type="cellIs" dxfId="1712" priority="1" operator="equal">
      <formula>MIN($I:$I)</formula>
    </cfRule>
  </conditionalFormatting>
  <conditionalFormatting sqref="D1:D1048576">
    <cfRule type="cellIs" dxfId="1711" priority="46" stopIfTrue="1" operator="between">
      <formula>0</formula>
      <formula>99.99</formula>
    </cfRule>
    <cfRule type="cellIs" dxfId="1710" priority="47" stopIfTrue="1" operator="between">
      <formula>100</formula>
      <formula>499.99</formula>
    </cfRule>
    <cfRule type="cellIs" dxfId="1709" priority="48" stopIfTrue="1" operator="between">
      <formula>500</formula>
      <formula>999.99</formula>
    </cfRule>
    <cfRule type="cellIs" dxfId="1708" priority="49" stopIfTrue="1" operator="between">
      <formula>1000</formula>
      <formula>1499.99</formula>
    </cfRule>
    <cfRule type="cellIs" dxfId="1707" priority="50" stopIfTrue="1" operator="between">
      <formula>1500</formula>
      <formula>1999.99</formula>
    </cfRule>
  </conditionalFormatting>
  <conditionalFormatting sqref="D1:D1048576">
    <cfRule type="cellIs" dxfId="1706" priority="51" stopIfTrue="1" operator="between">
      <formula>2000</formula>
      <formula>9999.99</formula>
    </cfRule>
  </conditionalFormatting>
  <conditionalFormatting sqref="B1:B1048576">
    <cfRule type="cellIs" dxfId="1705" priority="41" stopIfTrue="1" operator="between">
      <formula>0</formula>
      <formula>0.041666665</formula>
    </cfRule>
    <cfRule type="cellIs" dxfId="1704" priority="42" stopIfTrue="1" operator="between">
      <formula>0.0416666666666667</formula>
      <formula>0.124999884259259</formula>
    </cfRule>
    <cfRule type="cellIs" dxfId="1703" priority="43" stopIfTrue="1" operator="between">
      <formula>0.125</formula>
      <formula>0.166666550925926</formula>
    </cfRule>
    <cfRule type="cellIs" dxfId="1702" priority="44" stopIfTrue="1" operator="between">
      <formula>0.0833333333333333</formula>
      <formula>0.208333217592593</formula>
    </cfRule>
    <cfRule type="cellIs" dxfId="1701" priority="45" stopIfTrue="1" operator="between">
      <formula>0.208333333333333</formula>
      <formula>4.16666655092593</formula>
    </cfRule>
  </conditionalFormatting>
  <conditionalFormatting sqref="G1:G1048576">
    <cfRule type="cellIs" dxfId="1700" priority="35" stopIfTrue="1" operator="between">
      <formula>0</formula>
      <formula>130</formula>
    </cfRule>
    <cfRule type="cellIs" dxfId="1699" priority="36" stopIfTrue="1" operator="between">
      <formula>130.01</formula>
      <formula>140</formula>
    </cfRule>
    <cfRule type="cellIs" dxfId="1698" priority="37" stopIfTrue="1" operator="between">
      <formula>140.01</formula>
      <formula>150</formula>
    </cfRule>
    <cfRule type="cellIs" dxfId="1697" priority="38" stopIfTrue="1" operator="between">
      <formula>150.01</formula>
      <formula>160</formula>
    </cfRule>
    <cfRule type="cellIs" dxfId="1696" priority="39" stopIfTrue="1" operator="between">
      <formula>160.01</formula>
      <formula>170</formula>
    </cfRule>
  </conditionalFormatting>
  <conditionalFormatting sqref="G1:G1048576">
    <cfRule type="cellIs" dxfId="1695" priority="40" stopIfTrue="1" operator="between">
      <formula>170.01</formula>
      <formula>9999.99</formula>
    </cfRule>
  </conditionalFormatting>
  <conditionalFormatting sqref="F1:F1048576">
    <cfRule type="cellIs" dxfId="1694" priority="27" stopIfTrue="1" operator="between">
      <formula>118</formula>
      <formula>120.99</formula>
    </cfRule>
    <cfRule type="cellIs" dxfId="1693" priority="28" stopIfTrue="1" operator="between">
      <formula>121</formula>
      <formula>123.99</formula>
    </cfRule>
    <cfRule type="cellIs" dxfId="1692" priority="29" stopIfTrue="1" operator="between">
      <formula>124</formula>
      <formula>126.99</formula>
    </cfRule>
    <cfRule type="cellIs" dxfId="1691" priority="30" stopIfTrue="1" operator="between">
      <formula>127</formula>
      <formula>129.99</formula>
    </cfRule>
    <cfRule type="cellIs" dxfId="1690" priority="31" stopIfTrue="1" operator="between">
      <formula>130</formula>
      <formula>9999.99</formula>
    </cfRule>
  </conditionalFormatting>
  <conditionalFormatting sqref="F1:F1048576">
    <cfRule type="cellIs" dxfId="1689" priority="26" stopIfTrue="1" operator="between">
      <formula>0</formula>
      <formula>117.99</formula>
    </cfRule>
  </conditionalFormatting>
  <conditionalFormatting sqref="A1:A1048576">
    <cfRule type="expression" dxfId="1688" priority="18" stopIfTrue="1">
      <formula>H1="CR"</formula>
    </cfRule>
    <cfRule type="expression" dxfId="1687" priority="19" stopIfTrue="1">
      <formula>H1="RR"</formula>
    </cfRule>
    <cfRule type="expression" dxfId="1686" priority="20" stopIfTrue="1">
      <formula>H1="FB"</formula>
    </cfRule>
    <cfRule type="expression" dxfId="1685" priority="21" stopIfTrue="1">
      <formula>H1="MTB"</formula>
    </cfRule>
  </conditionalFormatting>
  <conditionalFormatting sqref="H1:H1048576">
    <cfRule type="cellIs" dxfId="1684" priority="14" stopIfTrue="1" operator="equal">
      <formula>"CR"</formula>
    </cfRule>
    <cfRule type="cellIs" dxfId="1683" priority="15" stopIfTrue="1" operator="equal">
      <formula>"FB"</formula>
    </cfRule>
    <cfRule type="cellIs" dxfId="1682" priority="16" stopIfTrue="1" operator="equal">
      <formula>"RR"</formula>
    </cfRule>
    <cfRule type="cellIs" dxfId="1681" priority="17" stopIfTrue="1" operator="equal">
      <formula>"MTB"</formula>
    </cfRule>
  </conditionalFormatting>
  <conditionalFormatting sqref="C1:C1048576">
    <cfRule type="cellIs" dxfId="1680" priority="4" stopIfTrue="1" operator="between">
      <formula>0</formula>
      <formula>19.99</formula>
    </cfRule>
    <cfRule type="cellIs" dxfId="1679" priority="5" stopIfTrue="1" operator="between">
      <formula>20</formula>
      <formula>49.99</formula>
    </cfRule>
    <cfRule type="cellIs" dxfId="1678" priority="6" stopIfTrue="1" operator="between">
      <formula>50</formula>
      <formula>99.9999</formula>
    </cfRule>
    <cfRule type="cellIs" dxfId="1677" priority="7" stopIfTrue="1" operator="between">
      <formula>100</formula>
      <formula>9999</formula>
    </cfRule>
  </conditionalFormatting>
  <hyperlinks>
    <hyperlink ref="A1" r:id="rId1" tooltip="Normalstartpunkt für Touren ohne Anfahrt"/>
  </hyperlinks>
  <pageMargins left="0.7" right="0.7" top="0.78740157499999996" bottom="0.78740157499999996" header="0.3" footer="0.3"/>
  <pageSetup paperSize="9" orientation="portrait"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499984740745262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5.7109375" bestFit="1" customWidth="1"/>
    <col min="3" max="3" width="4.85546875" bestFit="1" customWidth="1"/>
    <col min="4" max="4" width="4.28515625" bestFit="1" customWidth="1"/>
    <col min="5" max="5" width="6.5703125" bestFit="1" customWidth="1"/>
    <col min="6" max="6" width="5.7109375" bestFit="1" customWidth="1"/>
    <col min="7" max="7" width="5.28515625" bestFit="1" customWidth="1"/>
    <col min="8" max="8" width="4.140625" bestFit="1" customWidth="1"/>
    <col min="9" max="9" width="3.5703125" bestFit="1" customWidth="1"/>
    <col min="10" max="10" width="5.7109375" bestFit="1" customWidth="1"/>
    <col min="11" max="11" width="6.5703125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7" bestFit="1" customWidth="1"/>
    <col min="35" max="35" width="5.710937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6.85546875" bestFit="1" customWidth="1"/>
    <col min="44" max="44" width="4" bestFit="1" customWidth="1"/>
    <col min="45" max="45" width="3.7109375" bestFit="1" customWidth="1"/>
    <col min="46" max="46" width="7" bestFit="1" customWidth="1"/>
    <col min="47" max="47" width="5.7109375" bestFit="1" customWidth="1"/>
    <col min="48" max="48" width="4.140625" bestFit="1" customWidth="1"/>
    <col min="49" max="49" width="4.5703125" customWidth="1"/>
  </cols>
  <sheetData>
    <row r="1" spans="1:49" s="94" customFormat="1" ht="18" x14ac:dyDescent="0.25">
      <c r="A1" s="96" t="s">
        <v>243</v>
      </c>
      <c r="B1" s="416">
        <f>AT35+AV35</f>
        <v>7051.7800000000007</v>
      </c>
      <c r="C1" s="416"/>
      <c r="D1" s="97" t="s">
        <v>243</v>
      </c>
      <c r="E1" s="417">
        <f>AT35</f>
        <v>6666.9800000000005</v>
      </c>
      <c r="F1" s="417"/>
      <c r="G1" s="418" t="s">
        <v>155</v>
      </c>
      <c r="H1" s="418"/>
      <c r="I1" s="414">
        <f>MAX(B36,F36,J36,N36,R36,V36,Z36,AD36,AH36,AL36,AP36,AT36)</f>
        <v>124</v>
      </c>
      <c r="J1" s="414"/>
      <c r="K1" s="419" t="s">
        <v>163</v>
      </c>
      <c r="L1" s="419"/>
      <c r="M1" s="420">
        <f>MAX(B34,F34,J34,N34,R34,V34,Z34,AD34,AH34,AL34,AP34,AT34)</f>
        <v>902.05000000000018</v>
      </c>
      <c r="N1" s="420"/>
      <c r="O1" s="413" t="s">
        <v>194</v>
      </c>
      <c r="P1" s="413"/>
      <c r="Q1" s="413"/>
      <c r="R1" s="185">
        <f>MIN(B34,F34,J34,N34,R34,V34,Z34,AD34,AH34,AL34,AP34,AT34)</f>
        <v>241.00999999999996</v>
      </c>
      <c r="S1" s="98" t="s">
        <v>211</v>
      </c>
      <c r="T1" s="426">
        <f>IFERROR(AVERAGE(B37,F37,J37,N37,R37,V37,Z37,AD37,AH37,AL37,AP37,AT37),0)</f>
        <v>24.566448971731607</v>
      </c>
      <c r="U1" s="426"/>
      <c r="V1" s="434" t="s">
        <v>423</v>
      </c>
      <c r="W1" s="434"/>
      <c r="X1" s="434"/>
      <c r="Y1" s="434"/>
      <c r="Z1" s="434"/>
      <c r="AA1" s="99" t="s">
        <v>211</v>
      </c>
      <c r="AB1" s="415">
        <f>IFERROR(AVERAGE(C37,G37,K37,O37,S37,W37,AA37,AE37,AI37,AM37,AQ37,AU37),0)</f>
        <v>261.88691068899544</v>
      </c>
      <c r="AC1" s="415"/>
      <c r="AD1" s="425" t="s">
        <v>194</v>
      </c>
      <c r="AE1" s="425"/>
      <c r="AF1" s="428">
        <f>MIN(C34,G34,K34,O34,S34,W34,AA34,AE34,AI34,AM34,AQ34,AU34)</f>
        <v>1799</v>
      </c>
      <c r="AG1" s="428"/>
      <c r="AH1" s="429" t="s">
        <v>163</v>
      </c>
      <c r="AI1" s="429"/>
      <c r="AJ1" s="430">
        <f>MAX(C34,G34,K34,O34,S34,W34,AA34,AE34,AI34,AM34,AQ34,AU34)</f>
        <v>12610</v>
      </c>
      <c r="AK1" s="430"/>
      <c r="AL1" s="432" t="s">
        <v>156</v>
      </c>
      <c r="AM1" s="432"/>
      <c r="AN1" s="431">
        <f>MAX(C36,G36,K36,O36,S36,W36,AA36,AE36,AI36,AM36,AQ36,AU36)</f>
        <v>2200</v>
      </c>
      <c r="AO1" s="431"/>
      <c r="AP1" s="421" t="s">
        <v>366</v>
      </c>
      <c r="AQ1" s="421"/>
      <c r="AR1" s="422">
        <f>MAX(D36,H36,L36,P36,T36,X36,AB36,AF36,AJ36,AN36,AR36,AV36)</f>
        <v>9.375E-2</v>
      </c>
      <c r="AS1" s="422"/>
      <c r="AT1" s="95" t="s">
        <v>2</v>
      </c>
      <c r="AU1" s="423">
        <f>AU35</f>
        <v>72014</v>
      </c>
      <c r="AV1" s="424"/>
      <c r="AW1" s="121"/>
    </row>
    <row r="2" spans="1:49" s="58" customFormat="1" ht="11.25" x14ac:dyDescent="0.2">
      <c r="A2" s="64" t="s">
        <v>197</v>
      </c>
      <c r="B2" s="49" t="s">
        <v>243</v>
      </c>
      <c r="C2" s="49" t="s">
        <v>2</v>
      </c>
      <c r="D2" s="49" t="s">
        <v>208</v>
      </c>
      <c r="E2" s="70" t="s">
        <v>198</v>
      </c>
      <c r="F2" s="49" t="s">
        <v>243</v>
      </c>
      <c r="G2" s="49" t="s">
        <v>2</v>
      </c>
      <c r="H2" s="49" t="s">
        <v>208</v>
      </c>
      <c r="I2" s="70" t="s">
        <v>200</v>
      </c>
      <c r="J2" s="49" t="s">
        <v>243</v>
      </c>
      <c r="K2" s="49" t="s">
        <v>2</v>
      </c>
      <c r="L2" s="49" t="s">
        <v>208</v>
      </c>
      <c r="M2" s="70" t="s">
        <v>199</v>
      </c>
      <c r="N2" s="49" t="s">
        <v>243</v>
      </c>
      <c r="O2" s="49" t="s">
        <v>2</v>
      </c>
      <c r="P2" s="49" t="s">
        <v>208</v>
      </c>
      <c r="Q2" s="70" t="s">
        <v>100</v>
      </c>
      <c r="R2" s="49" t="s">
        <v>243</v>
      </c>
      <c r="S2" s="49" t="s">
        <v>2</v>
      </c>
      <c r="T2" s="49" t="s">
        <v>208</v>
      </c>
      <c r="U2" s="70" t="s">
        <v>201</v>
      </c>
      <c r="V2" s="49" t="s">
        <v>243</v>
      </c>
      <c r="W2" s="49" t="s">
        <v>2</v>
      </c>
      <c r="X2" s="49" t="s">
        <v>208</v>
      </c>
      <c r="Y2" s="70" t="s">
        <v>202</v>
      </c>
      <c r="Z2" s="49" t="s">
        <v>243</v>
      </c>
      <c r="AA2" s="49" t="s">
        <v>2</v>
      </c>
      <c r="AB2" s="49" t="s">
        <v>208</v>
      </c>
      <c r="AC2" s="70" t="s">
        <v>203</v>
      </c>
      <c r="AD2" s="49" t="s">
        <v>243</v>
      </c>
      <c r="AE2" s="49" t="s">
        <v>2</v>
      </c>
      <c r="AF2" s="49" t="s">
        <v>208</v>
      </c>
      <c r="AG2" s="70" t="s">
        <v>204</v>
      </c>
      <c r="AH2" s="49" t="s">
        <v>243</v>
      </c>
      <c r="AI2" s="49" t="s">
        <v>2</v>
      </c>
      <c r="AJ2" s="49" t="s">
        <v>208</v>
      </c>
      <c r="AK2" s="70" t="s">
        <v>205</v>
      </c>
      <c r="AL2" s="49" t="s">
        <v>243</v>
      </c>
      <c r="AM2" s="49" t="s">
        <v>2</v>
      </c>
      <c r="AN2" s="49" t="s">
        <v>208</v>
      </c>
      <c r="AO2" s="70" t="s">
        <v>206</v>
      </c>
      <c r="AP2" s="49" t="s">
        <v>243</v>
      </c>
      <c r="AQ2" s="49" t="s">
        <v>2</v>
      </c>
      <c r="AR2" s="49" t="s">
        <v>208</v>
      </c>
      <c r="AS2" s="70" t="s">
        <v>207</v>
      </c>
      <c r="AT2" s="49" t="s">
        <v>243</v>
      </c>
      <c r="AU2" s="49" t="s">
        <v>2</v>
      </c>
      <c r="AV2" s="49" t="s">
        <v>208</v>
      </c>
      <c r="AW2" s="105"/>
    </row>
    <row r="3" spans="1:49" s="54" customFormat="1" ht="11.25" x14ac:dyDescent="0.2">
      <c r="A3" s="86">
        <v>1</v>
      </c>
      <c r="B3" s="59"/>
      <c r="C3" s="60"/>
      <c r="D3" s="186">
        <v>4.1666666666666664E-2</v>
      </c>
      <c r="E3" s="88">
        <v>1</v>
      </c>
      <c r="F3" s="59"/>
      <c r="G3" s="60"/>
      <c r="H3" s="186"/>
      <c r="I3" s="88">
        <v>1</v>
      </c>
      <c r="J3" s="59">
        <v>14.4</v>
      </c>
      <c r="K3" s="60">
        <v>40</v>
      </c>
      <c r="L3" s="186"/>
      <c r="M3" s="88">
        <v>1</v>
      </c>
      <c r="N3" s="59">
        <v>10.029999999999999</v>
      </c>
      <c r="O3" s="60">
        <v>15</v>
      </c>
      <c r="P3" s="186"/>
      <c r="Q3" s="88">
        <v>1</v>
      </c>
      <c r="R3" s="59">
        <v>55.29</v>
      </c>
      <c r="S3" s="60">
        <v>470</v>
      </c>
      <c r="T3" s="186"/>
      <c r="U3" s="88">
        <v>1</v>
      </c>
      <c r="V3" s="59"/>
      <c r="W3" s="60"/>
      <c r="X3" s="186"/>
      <c r="Y3" s="88">
        <v>1</v>
      </c>
      <c r="Z3" s="59"/>
      <c r="AA3" s="60"/>
      <c r="AB3" s="186"/>
      <c r="AC3" s="88">
        <v>1</v>
      </c>
      <c r="AD3" s="59">
        <v>15.2</v>
      </c>
      <c r="AE3" s="60">
        <v>50</v>
      </c>
      <c r="AF3" s="186"/>
      <c r="AG3" s="88">
        <v>1</v>
      </c>
      <c r="AH3" s="59">
        <v>25.09</v>
      </c>
      <c r="AI3" s="60">
        <v>379</v>
      </c>
      <c r="AJ3" s="186"/>
      <c r="AK3" s="88">
        <v>1</v>
      </c>
      <c r="AL3" s="59">
        <v>68.58</v>
      </c>
      <c r="AM3" s="60">
        <v>1003</v>
      </c>
      <c r="AN3" s="186"/>
      <c r="AO3" s="88">
        <v>1</v>
      </c>
      <c r="AP3" s="59">
        <v>10.1</v>
      </c>
      <c r="AQ3" s="60">
        <v>306</v>
      </c>
      <c r="AR3" s="186"/>
      <c r="AS3" s="88">
        <v>1</v>
      </c>
      <c r="AT3" s="59">
        <v>15.5</v>
      </c>
      <c r="AU3" s="60">
        <v>15</v>
      </c>
      <c r="AV3" s="186"/>
      <c r="AW3" s="73"/>
    </row>
    <row r="4" spans="1:49" s="54" customFormat="1" ht="11.25" x14ac:dyDescent="0.2">
      <c r="A4" s="86">
        <f>A3+1</f>
        <v>2</v>
      </c>
      <c r="B4" s="59">
        <v>10.6</v>
      </c>
      <c r="C4" s="60">
        <v>310</v>
      </c>
      <c r="D4" s="186">
        <v>4.8611111111111112E-2</v>
      </c>
      <c r="E4" s="88">
        <f>E3+1</f>
        <v>2</v>
      </c>
      <c r="F4" s="59"/>
      <c r="G4" s="60"/>
      <c r="H4" s="186">
        <v>4.1666666666666664E-2</v>
      </c>
      <c r="I4" s="88">
        <f>I3+1</f>
        <v>2</v>
      </c>
      <c r="J4" s="59">
        <v>19.77</v>
      </c>
      <c r="K4" s="60">
        <v>434</v>
      </c>
      <c r="L4" s="186"/>
      <c r="M4" s="88">
        <f>M3+1</f>
        <v>2</v>
      </c>
      <c r="N4" s="59">
        <v>27.6</v>
      </c>
      <c r="O4" s="60">
        <v>170</v>
      </c>
      <c r="P4" s="186"/>
      <c r="Q4" s="88">
        <f>Q3+1</f>
        <v>2</v>
      </c>
      <c r="R4" s="59"/>
      <c r="S4" s="60"/>
      <c r="T4" s="186"/>
      <c r="U4" s="88">
        <f>U3+1</f>
        <v>2</v>
      </c>
      <c r="V4" s="59">
        <v>45.1</v>
      </c>
      <c r="W4" s="60">
        <v>600</v>
      </c>
      <c r="X4" s="186"/>
      <c r="Y4" s="88">
        <f>Y3+1</f>
        <v>2</v>
      </c>
      <c r="Z4" s="59">
        <v>48.89</v>
      </c>
      <c r="AA4" s="60">
        <v>215</v>
      </c>
      <c r="AB4" s="186"/>
      <c r="AC4" s="88">
        <f>AC3+1</f>
        <v>2</v>
      </c>
      <c r="AD4" s="59">
        <v>15.7</v>
      </c>
      <c r="AE4" s="60">
        <v>115</v>
      </c>
      <c r="AF4" s="186"/>
      <c r="AG4" s="88">
        <f>AG3+1</f>
        <v>2</v>
      </c>
      <c r="AH4" s="59">
        <v>18.760000000000002</v>
      </c>
      <c r="AI4" s="60">
        <v>350</v>
      </c>
      <c r="AJ4" s="186"/>
      <c r="AK4" s="88">
        <f>AK3+1</f>
        <v>2</v>
      </c>
      <c r="AL4" s="59">
        <v>90.07</v>
      </c>
      <c r="AM4" s="60">
        <v>1040</v>
      </c>
      <c r="AN4" s="186"/>
      <c r="AO4" s="88">
        <f>AO3+1</f>
        <v>2</v>
      </c>
      <c r="AP4" s="59"/>
      <c r="AQ4" s="60"/>
      <c r="AR4" s="186"/>
      <c r="AS4" s="88">
        <f>AS3+1</f>
        <v>2</v>
      </c>
      <c r="AT4" s="59"/>
      <c r="AU4" s="60"/>
      <c r="AV4" s="186"/>
      <c r="AW4" s="73"/>
    </row>
    <row r="5" spans="1:49" s="54" customFormat="1" ht="11.25" x14ac:dyDescent="0.2">
      <c r="A5" s="86">
        <f t="shared" ref="A5:A33" si="0">A4+1</f>
        <v>3</v>
      </c>
      <c r="B5" s="59"/>
      <c r="C5" s="60"/>
      <c r="D5" s="186"/>
      <c r="E5" s="88">
        <f t="shared" ref="E5:E30" si="1">E4+1</f>
        <v>3</v>
      </c>
      <c r="F5" s="59"/>
      <c r="G5" s="60"/>
      <c r="H5" s="186"/>
      <c r="I5" s="88">
        <f t="shared" ref="I5:I33" si="2">I4+1</f>
        <v>3</v>
      </c>
      <c r="J5" s="59">
        <v>12</v>
      </c>
      <c r="K5" s="60">
        <v>20</v>
      </c>
      <c r="L5" s="186"/>
      <c r="M5" s="88">
        <f t="shared" ref="M5:M32" si="3">M4+1</f>
        <v>3</v>
      </c>
      <c r="N5" s="59">
        <v>34.6</v>
      </c>
      <c r="O5" s="60">
        <v>270</v>
      </c>
      <c r="P5" s="186"/>
      <c r="Q5" s="88">
        <f t="shared" ref="Q5:Q33" si="4">Q4+1</f>
        <v>3</v>
      </c>
      <c r="R5" s="59"/>
      <c r="S5" s="60"/>
      <c r="T5" s="186"/>
      <c r="U5" s="88">
        <f t="shared" ref="U5:U32" si="5">U4+1</f>
        <v>3</v>
      </c>
      <c r="V5" s="59">
        <v>16</v>
      </c>
      <c r="W5" s="60">
        <v>65</v>
      </c>
      <c r="X5" s="186"/>
      <c r="Y5" s="88">
        <f t="shared" ref="Y5:Y33" si="6">Y4+1</f>
        <v>3</v>
      </c>
      <c r="Z5" s="59">
        <v>28.060000000000002</v>
      </c>
      <c r="AA5" s="60">
        <v>148</v>
      </c>
      <c r="AB5" s="186"/>
      <c r="AC5" s="88">
        <f t="shared" ref="AC5:AC33" si="7">AC4+1</f>
        <v>3</v>
      </c>
      <c r="AD5" s="59">
        <v>13.6</v>
      </c>
      <c r="AE5" s="60">
        <v>10</v>
      </c>
      <c r="AF5" s="186"/>
      <c r="AG5" s="88">
        <f t="shared" ref="AG5:AG32" si="8">AG4+1</f>
        <v>3</v>
      </c>
      <c r="AH5" s="59">
        <v>52.39</v>
      </c>
      <c r="AI5" s="60">
        <v>735</v>
      </c>
      <c r="AJ5" s="186"/>
      <c r="AK5" s="88">
        <f t="shared" ref="AK5:AK33" si="9">AK4+1</f>
        <v>3</v>
      </c>
      <c r="AL5" s="59">
        <v>33.85</v>
      </c>
      <c r="AM5" s="60">
        <v>837</v>
      </c>
      <c r="AN5" s="186"/>
      <c r="AO5" s="88">
        <f t="shared" ref="AO5:AO32" si="10">AO4+1</f>
        <v>3</v>
      </c>
      <c r="AP5" s="59">
        <v>15.3</v>
      </c>
      <c r="AQ5" s="60">
        <v>62</v>
      </c>
      <c r="AR5" s="186"/>
      <c r="AS5" s="88">
        <f t="shared" ref="AS5:AS33" si="11">AS4+1</f>
        <v>3</v>
      </c>
      <c r="AT5" s="59"/>
      <c r="AU5" s="60"/>
      <c r="AV5" s="186">
        <v>9.375E-2</v>
      </c>
      <c r="AW5" s="73"/>
    </row>
    <row r="6" spans="1:49" s="54" customFormat="1" ht="11.25" x14ac:dyDescent="0.2">
      <c r="A6" s="86">
        <f t="shared" si="0"/>
        <v>4</v>
      </c>
      <c r="B6" s="59"/>
      <c r="C6" s="60"/>
      <c r="D6" s="186"/>
      <c r="E6" s="88">
        <f t="shared" si="1"/>
        <v>4</v>
      </c>
      <c r="F6" s="59">
        <v>19.149999999999999</v>
      </c>
      <c r="G6" s="60">
        <v>422</v>
      </c>
      <c r="H6" s="186"/>
      <c r="I6" s="88">
        <f t="shared" si="2"/>
        <v>4</v>
      </c>
      <c r="J6" s="59"/>
      <c r="K6" s="60"/>
      <c r="L6" s="186"/>
      <c r="M6" s="88">
        <f t="shared" si="3"/>
        <v>4</v>
      </c>
      <c r="N6" s="59">
        <v>10.5</v>
      </c>
      <c r="O6" s="60">
        <v>15</v>
      </c>
      <c r="P6" s="186"/>
      <c r="Q6" s="88">
        <f t="shared" si="4"/>
        <v>4</v>
      </c>
      <c r="R6" s="59">
        <v>20.5</v>
      </c>
      <c r="S6" s="60">
        <v>43</v>
      </c>
      <c r="T6" s="186"/>
      <c r="U6" s="88">
        <f t="shared" si="5"/>
        <v>4</v>
      </c>
      <c r="V6" s="59"/>
      <c r="W6" s="60"/>
      <c r="X6" s="186"/>
      <c r="Y6" s="88">
        <f t="shared" si="6"/>
        <v>4</v>
      </c>
      <c r="Z6" s="59">
        <v>15.729999999999999</v>
      </c>
      <c r="AA6" s="60">
        <v>140</v>
      </c>
      <c r="AB6" s="186"/>
      <c r="AC6" s="88">
        <f t="shared" si="7"/>
        <v>4</v>
      </c>
      <c r="AD6" s="59">
        <v>20.46</v>
      </c>
      <c r="AE6" s="60">
        <v>210</v>
      </c>
      <c r="AF6" s="186"/>
      <c r="AG6" s="88">
        <f t="shared" si="8"/>
        <v>4</v>
      </c>
      <c r="AH6" s="59">
        <v>53.7</v>
      </c>
      <c r="AI6" s="60">
        <v>643</v>
      </c>
      <c r="AJ6" s="186"/>
      <c r="AK6" s="88">
        <f t="shared" si="9"/>
        <v>4</v>
      </c>
      <c r="AL6" s="59">
        <v>16</v>
      </c>
      <c r="AM6" s="60">
        <v>65</v>
      </c>
      <c r="AN6" s="186"/>
      <c r="AO6" s="88">
        <f t="shared" si="10"/>
        <v>4</v>
      </c>
      <c r="AP6" s="59">
        <v>18.25</v>
      </c>
      <c r="AQ6" s="60">
        <v>13</v>
      </c>
      <c r="AR6" s="186"/>
      <c r="AS6" s="88">
        <f t="shared" si="11"/>
        <v>4</v>
      </c>
      <c r="AT6" s="59"/>
      <c r="AU6" s="60"/>
      <c r="AV6" s="186"/>
      <c r="AW6" s="73"/>
    </row>
    <row r="7" spans="1:49" s="54" customFormat="1" ht="11.25" x14ac:dyDescent="0.2">
      <c r="A7" s="86">
        <f t="shared" si="0"/>
        <v>5</v>
      </c>
      <c r="B7" s="59">
        <v>11.3</v>
      </c>
      <c r="C7" s="60">
        <v>20</v>
      </c>
      <c r="D7" s="186"/>
      <c r="E7" s="88">
        <f t="shared" si="1"/>
        <v>5</v>
      </c>
      <c r="F7" s="59">
        <v>15.81</v>
      </c>
      <c r="G7" s="60">
        <v>356</v>
      </c>
      <c r="H7" s="186"/>
      <c r="I7" s="88">
        <f t="shared" si="2"/>
        <v>5</v>
      </c>
      <c r="J7" s="59"/>
      <c r="K7" s="60"/>
      <c r="L7" s="186"/>
      <c r="M7" s="88">
        <f t="shared" si="3"/>
        <v>5</v>
      </c>
      <c r="N7" s="59">
        <v>29.05</v>
      </c>
      <c r="O7" s="60">
        <v>190</v>
      </c>
      <c r="P7" s="186"/>
      <c r="Q7" s="88">
        <f t="shared" si="4"/>
        <v>5</v>
      </c>
      <c r="R7" s="59">
        <v>16</v>
      </c>
      <c r="S7" s="60">
        <v>65</v>
      </c>
      <c r="T7" s="186"/>
      <c r="U7" s="88">
        <f t="shared" si="5"/>
        <v>5</v>
      </c>
      <c r="V7" s="59">
        <v>124</v>
      </c>
      <c r="W7" s="60">
        <v>1445</v>
      </c>
      <c r="X7" s="186"/>
      <c r="Y7" s="88">
        <f t="shared" si="6"/>
        <v>5</v>
      </c>
      <c r="Z7" s="59">
        <v>10.1</v>
      </c>
      <c r="AA7" s="60">
        <v>306</v>
      </c>
      <c r="AB7" s="186"/>
      <c r="AC7" s="88">
        <f t="shared" si="7"/>
        <v>5</v>
      </c>
      <c r="AD7" s="59">
        <v>21.119999999999997</v>
      </c>
      <c r="AE7" s="60">
        <v>60</v>
      </c>
      <c r="AF7" s="186"/>
      <c r="AG7" s="88">
        <f t="shared" si="8"/>
        <v>5</v>
      </c>
      <c r="AH7" s="59"/>
      <c r="AI7" s="60"/>
      <c r="AJ7" s="186"/>
      <c r="AK7" s="88">
        <f t="shared" si="9"/>
        <v>5</v>
      </c>
      <c r="AL7" s="59">
        <v>7.2</v>
      </c>
      <c r="AM7" s="60">
        <v>2</v>
      </c>
      <c r="AN7" s="186"/>
      <c r="AO7" s="88">
        <f t="shared" si="10"/>
        <v>5</v>
      </c>
      <c r="AP7" s="59">
        <v>23.3</v>
      </c>
      <c r="AQ7" s="60">
        <v>73</v>
      </c>
      <c r="AR7" s="186"/>
      <c r="AS7" s="88">
        <f t="shared" si="11"/>
        <v>5</v>
      </c>
      <c r="AT7" s="59">
        <v>10</v>
      </c>
      <c r="AU7" s="60">
        <v>13</v>
      </c>
      <c r="AV7" s="186"/>
      <c r="AW7" s="73"/>
    </row>
    <row r="8" spans="1:49" s="54" customFormat="1" ht="11.25" x14ac:dyDescent="0.2">
      <c r="A8" s="86">
        <f t="shared" si="0"/>
        <v>6</v>
      </c>
      <c r="B8" s="59"/>
      <c r="C8" s="60"/>
      <c r="D8" s="186">
        <v>2.0833333333333332E-2</v>
      </c>
      <c r="E8" s="88">
        <f t="shared" si="1"/>
        <v>6</v>
      </c>
      <c r="F8" s="59">
        <v>16.850000000000001</v>
      </c>
      <c r="G8" s="60">
        <v>536</v>
      </c>
      <c r="H8" s="186"/>
      <c r="I8" s="88">
        <f t="shared" si="2"/>
        <v>6</v>
      </c>
      <c r="J8" s="59"/>
      <c r="K8" s="60"/>
      <c r="L8" s="186"/>
      <c r="M8" s="88">
        <f t="shared" si="3"/>
        <v>6</v>
      </c>
      <c r="N8" s="59">
        <v>10.5</v>
      </c>
      <c r="O8" s="60">
        <v>15</v>
      </c>
      <c r="P8" s="186"/>
      <c r="Q8" s="88">
        <f t="shared" si="4"/>
        <v>6</v>
      </c>
      <c r="R8" s="59">
        <v>14.45</v>
      </c>
      <c r="S8" s="60">
        <v>140</v>
      </c>
      <c r="T8" s="186"/>
      <c r="U8" s="88">
        <f t="shared" si="5"/>
        <v>6</v>
      </c>
      <c r="V8" s="59"/>
      <c r="W8" s="60"/>
      <c r="X8" s="186"/>
      <c r="Y8" s="88">
        <f t="shared" si="6"/>
        <v>6</v>
      </c>
      <c r="Z8" s="59">
        <v>10.56</v>
      </c>
      <c r="AA8" s="60">
        <v>70</v>
      </c>
      <c r="AB8" s="186"/>
      <c r="AC8" s="88">
        <f t="shared" si="7"/>
        <v>6</v>
      </c>
      <c r="AD8" s="59">
        <v>94.3</v>
      </c>
      <c r="AE8" s="60">
        <v>1310</v>
      </c>
      <c r="AF8" s="186"/>
      <c r="AG8" s="88">
        <f t="shared" si="8"/>
        <v>6</v>
      </c>
      <c r="AH8" s="59"/>
      <c r="AI8" s="60"/>
      <c r="AJ8" s="186"/>
      <c r="AK8" s="88">
        <f t="shared" si="9"/>
        <v>6</v>
      </c>
      <c r="AL8" s="59">
        <v>9.4499999999999993</v>
      </c>
      <c r="AM8" s="60">
        <v>40</v>
      </c>
      <c r="AN8" s="186"/>
      <c r="AO8" s="88">
        <f t="shared" si="10"/>
        <v>6</v>
      </c>
      <c r="AP8" s="59">
        <v>37.200000000000003</v>
      </c>
      <c r="AQ8" s="60">
        <v>201</v>
      </c>
      <c r="AR8" s="186"/>
      <c r="AS8" s="88">
        <f t="shared" si="11"/>
        <v>6</v>
      </c>
      <c r="AT8" s="59">
        <v>10.5</v>
      </c>
      <c r="AU8" s="60">
        <v>7</v>
      </c>
      <c r="AV8" s="186"/>
      <c r="AW8" s="73"/>
    </row>
    <row r="9" spans="1:49" s="54" customFormat="1" ht="11.25" x14ac:dyDescent="0.2">
      <c r="A9" s="86">
        <f t="shared" si="0"/>
        <v>7</v>
      </c>
      <c r="B9" s="59"/>
      <c r="C9" s="60"/>
      <c r="D9" s="186"/>
      <c r="E9" s="88">
        <f t="shared" si="1"/>
        <v>7</v>
      </c>
      <c r="F9" s="59">
        <v>15</v>
      </c>
      <c r="G9" s="60">
        <v>20</v>
      </c>
      <c r="H9" s="186"/>
      <c r="I9" s="88">
        <f t="shared" si="2"/>
        <v>7</v>
      </c>
      <c r="J9" s="59"/>
      <c r="K9" s="60"/>
      <c r="L9" s="186"/>
      <c r="M9" s="88">
        <f t="shared" si="3"/>
        <v>7</v>
      </c>
      <c r="N9" s="59">
        <v>21.2</v>
      </c>
      <c r="O9" s="60">
        <v>30</v>
      </c>
      <c r="P9" s="186"/>
      <c r="Q9" s="88">
        <f t="shared" si="4"/>
        <v>7</v>
      </c>
      <c r="R9" s="59"/>
      <c r="S9" s="60"/>
      <c r="T9" s="186"/>
      <c r="U9" s="88">
        <f t="shared" si="5"/>
        <v>7</v>
      </c>
      <c r="V9" s="59"/>
      <c r="W9" s="60"/>
      <c r="X9" s="186"/>
      <c r="Y9" s="88">
        <f t="shared" si="6"/>
        <v>7</v>
      </c>
      <c r="Z9" s="59">
        <v>15.6</v>
      </c>
      <c r="AA9" s="60">
        <v>40</v>
      </c>
      <c r="AB9" s="186"/>
      <c r="AC9" s="88">
        <f t="shared" si="7"/>
        <v>7</v>
      </c>
      <c r="AD9" s="59">
        <v>38.14</v>
      </c>
      <c r="AE9" s="60">
        <v>320</v>
      </c>
      <c r="AF9" s="186"/>
      <c r="AG9" s="88">
        <f t="shared" si="8"/>
        <v>7</v>
      </c>
      <c r="AH9" s="59"/>
      <c r="AI9" s="60"/>
      <c r="AJ9" s="186"/>
      <c r="AK9" s="88">
        <f t="shared" si="9"/>
        <v>7</v>
      </c>
      <c r="AL9" s="59"/>
      <c r="AM9" s="60"/>
      <c r="AN9" s="186"/>
      <c r="AO9" s="88">
        <f t="shared" si="10"/>
        <v>7</v>
      </c>
      <c r="AP9" s="59">
        <v>12.3</v>
      </c>
      <c r="AQ9" s="60">
        <v>60</v>
      </c>
      <c r="AR9" s="186"/>
      <c r="AS9" s="88">
        <f t="shared" si="11"/>
        <v>7</v>
      </c>
      <c r="AT9" s="59">
        <v>11.4</v>
      </c>
      <c r="AU9" s="60">
        <v>40</v>
      </c>
      <c r="AV9" s="186"/>
      <c r="AW9" s="73"/>
    </row>
    <row r="10" spans="1:49" s="54" customFormat="1" ht="11.25" x14ac:dyDescent="0.2">
      <c r="A10" s="86">
        <f t="shared" si="0"/>
        <v>8</v>
      </c>
      <c r="B10" s="59">
        <v>10.56</v>
      </c>
      <c r="C10" s="60">
        <v>70</v>
      </c>
      <c r="D10" s="186"/>
      <c r="E10" s="88">
        <f t="shared" si="1"/>
        <v>8</v>
      </c>
      <c r="F10" s="59">
        <v>15.85</v>
      </c>
      <c r="G10" s="60">
        <v>155</v>
      </c>
      <c r="H10" s="186"/>
      <c r="I10" s="88">
        <f t="shared" si="2"/>
        <v>8</v>
      </c>
      <c r="J10" s="59">
        <v>11.4</v>
      </c>
      <c r="K10" s="60">
        <v>40</v>
      </c>
      <c r="L10" s="186"/>
      <c r="M10" s="88">
        <f t="shared" si="3"/>
        <v>8</v>
      </c>
      <c r="N10" s="59">
        <v>10.56</v>
      </c>
      <c r="O10" s="60">
        <v>70</v>
      </c>
      <c r="P10" s="186"/>
      <c r="Q10" s="88">
        <f t="shared" si="4"/>
        <v>8</v>
      </c>
      <c r="R10" s="59">
        <v>85.2</v>
      </c>
      <c r="S10" s="60">
        <v>856</v>
      </c>
      <c r="T10" s="186"/>
      <c r="U10" s="88">
        <f t="shared" si="5"/>
        <v>8</v>
      </c>
      <c r="V10" s="59">
        <v>11.4</v>
      </c>
      <c r="W10" s="60">
        <v>40</v>
      </c>
      <c r="X10" s="186"/>
      <c r="Y10" s="88">
        <f t="shared" si="6"/>
        <v>8</v>
      </c>
      <c r="Z10" s="59"/>
      <c r="AA10" s="60"/>
      <c r="AB10" s="186"/>
      <c r="AC10" s="88">
        <f t="shared" si="7"/>
        <v>8</v>
      </c>
      <c r="AD10" s="59"/>
      <c r="AE10" s="60"/>
      <c r="AF10" s="186"/>
      <c r="AG10" s="88">
        <f t="shared" si="8"/>
        <v>8</v>
      </c>
      <c r="AJ10" s="186"/>
      <c r="AK10" s="88">
        <f t="shared" si="9"/>
        <v>8</v>
      </c>
      <c r="AL10" s="59">
        <v>16.8</v>
      </c>
      <c r="AM10" s="60">
        <v>80</v>
      </c>
      <c r="AN10" s="186"/>
      <c r="AO10" s="88">
        <f t="shared" si="10"/>
        <v>8</v>
      </c>
      <c r="AP10" s="59">
        <v>9.74</v>
      </c>
      <c r="AQ10" s="60">
        <v>12</v>
      </c>
      <c r="AR10" s="186"/>
      <c r="AS10" s="88">
        <f t="shared" si="11"/>
        <v>8</v>
      </c>
      <c r="AT10" s="59"/>
      <c r="AU10" s="60"/>
      <c r="AV10" s="186"/>
      <c r="AW10" s="73"/>
    </row>
    <row r="11" spans="1:49" s="54" customFormat="1" ht="11.25" x14ac:dyDescent="0.2">
      <c r="A11" s="86">
        <f t="shared" si="0"/>
        <v>9</v>
      </c>
      <c r="B11" s="59"/>
      <c r="C11" s="60"/>
      <c r="D11" s="186">
        <v>5.2083333333333336E-2</v>
      </c>
      <c r="E11" s="88">
        <f t="shared" si="1"/>
        <v>9</v>
      </c>
      <c r="F11" s="59"/>
      <c r="G11" s="60"/>
      <c r="H11" s="186"/>
      <c r="I11" s="88">
        <f t="shared" si="2"/>
        <v>9</v>
      </c>
      <c r="J11" s="59"/>
      <c r="K11" s="60"/>
      <c r="L11" s="186"/>
      <c r="M11" s="88">
        <f t="shared" si="3"/>
        <v>9</v>
      </c>
      <c r="N11" s="59">
        <v>58.78</v>
      </c>
      <c r="O11" s="60">
        <v>850</v>
      </c>
      <c r="P11" s="186"/>
      <c r="Q11" s="88">
        <f t="shared" si="4"/>
        <v>9</v>
      </c>
      <c r="R11" s="59">
        <v>18.920000000000002</v>
      </c>
      <c r="S11" s="60">
        <v>85</v>
      </c>
      <c r="T11" s="186"/>
      <c r="U11" s="88">
        <f t="shared" si="5"/>
        <v>9</v>
      </c>
      <c r="V11" s="59">
        <v>6</v>
      </c>
      <c r="W11" s="60">
        <v>0</v>
      </c>
      <c r="X11" s="186"/>
      <c r="Y11" s="88">
        <f t="shared" si="6"/>
        <v>9</v>
      </c>
      <c r="Z11" s="59">
        <v>20.3</v>
      </c>
      <c r="AA11" s="60">
        <v>360</v>
      </c>
      <c r="AB11" s="186"/>
      <c r="AC11" s="88">
        <f t="shared" si="7"/>
        <v>9</v>
      </c>
      <c r="AD11" s="59"/>
      <c r="AE11" s="60"/>
      <c r="AF11" s="186"/>
      <c r="AG11" s="88">
        <f t="shared" si="8"/>
        <v>9</v>
      </c>
      <c r="AH11" s="59"/>
      <c r="AI11" s="60"/>
      <c r="AJ11" s="186"/>
      <c r="AK11" s="88">
        <f t="shared" si="9"/>
        <v>9</v>
      </c>
      <c r="AL11" s="59">
        <v>53.23</v>
      </c>
      <c r="AM11" s="60">
        <v>298</v>
      </c>
      <c r="AN11" s="186">
        <v>2.0833333333333332E-2</v>
      </c>
      <c r="AO11" s="88">
        <f t="shared" si="10"/>
        <v>9</v>
      </c>
      <c r="AP11" s="59"/>
      <c r="AQ11" s="60"/>
      <c r="AR11" s="186"/>
      <c r="AS11" s="88">
        <f t="shared" si="11"/>
        <v>9</v>
      </c>
      <c r="AT11" s="59">
        <v>20.5</v>
      </c>
      <c r="AU11" s="60">
        <v>19</v>
      </c>
      <c r="AV11" s="186"/>
      <c r="AW11" s="73"/>
    </row>
    <row r="12" spans="1:49" s="54" customFormat="1" ht="11.25" x14ac:dyDescent="0.2">
      <c r="A12" s="86">
        <f t="shared" si="0"/>
        <v>10</v>
      </c>
      <c r="B12" s="59">
        <v>14.7</v>
      </c>
      <c r="C12" s="60">
        <v>2</v>
      </c>
      <c r="D12" s="186"/>
      <c r="E12" s="88">
        <f t="shared" si="1"/>
        <v>10</v>
      </c>
      <c r="F12" s="59">
        <v>22.33</v>
      </c>
      <c r="G12" s="60">
        <v>412</v>
      </c>
      <c r="H12" s="186"/>
      <c r="I12" s="88">
        <f t="shared" si="2"/>
        <v>10</v>
      </c>
      <c r="J12" s="59">
        <v>10</v>
      </c>
      <c r="K12" s="60">
        <v>2</v>
      </c>
      <c r="L12" s="186"/>
      <c r="M12" s="88">
        <f t="shared" si="3"/>
        <v>10</v>
      </c>
      <c r="N12" s="59">
        <v>57.1</v>
      </c>
      <c r="O12" s="60">
        <v>912</v>
      </c>
      <c r="P12" s="186"/>
      <c r="Q12" s="88">
        <f t="shared" si="4"/>
        <v>10</v>
      </c>
      <c r="R12" s="59">
        <v>14.27</v>
      </c>
      <c r="S12" s="60">
        <v>45</v>
      </c>
      <c r="T12" s="186"/>
      <c r="U12" s="88">
        <f t="shared" si="5"/>
        <v>10</v>
      </c>
      <c r="V12" s="59">
        <v>15.86</v>
      </c>
      <c r="W12" s="60">
        <v>30</v>
      </c>
      <c r="X12" s="186"/>
      <c r="Y12" s="88">
        <f t="shared" si="6"/>
        <v>10</v>
      </c>
      <c r="Z12" s="59">
        <v>20.8</v>
      </c>
      <c r="AA12" s="60">
        <v>91</v>
      </c>
      <c r="AB12" s="186"/>
      <c r="AC12" s="88">
        <f t="shared" si="7"/>
        <v>10</v>
      </c>
      <c r="AD12" s="59">
        <v>13.6</v>
      </c>
      <c r="AE12" s="60">
        <v>10</v>
      </c>
      <c r="AF12" s="186"/>
      <c r="AG12" s="88">
        <f t="shared" si="8"/>
        <v>10</v>
      </c>
      <c r="AJ12" s="186"/>
      <c r="AK12" s="88">
        <f t="shared" si="9"/>
        <v>10</v>
      </c>
      <c r="AL12" s="59">
        <v>20.150000000000002</v>
      </c>
      <c r="AM12" s="60">
        <v>80</v>
      </c>
      <c r="AN12" s="186"/>
      <c r="AO12" s="88">
        <f t="shared" si="10"/>
        <v>10</v>
      </c>
      <c r="AP12" s="59">
        <v>12</v>
      </c>
      <c r="AQ12" s="60">
        <v>8</v>
      </c>
      <c r="AR12" s="186"/>
      <c r="AS12" s="88">
        <f t="shared" si="11"/>
        <v>10</v>
      </c>
      <c r="AT12" s="59">
        <v>42.05</v>
      </c>
      <c r="AU12" s="60">
        <v>457</v>
      </c>
      <c r="AV12" s="186"/>
      <c r="AW12" s="73"/>
    </row>
    <row r="13" spans="1:49" s="54" customFormat="1" ht="11.25" x14ac:dyDescent="0.2">
      <c r="A13" s="86">
        <f t="shared" si="0"/>
        <v>11</v>
      </c>
      <c r="B13" s="59"/>
      <c r="C13" s="60"/>
      <c r="D13" s="186"/>
      <c r="E13" s="88">
        <f t="shared" si="1"/>
        <v>11</v>
      </c>
      <c r="F13" s="59"/>
      <c r="G13" s="60"/>
      <c r="H13" s="186"/>
      <c r="I13" s="88">
        <f t="shared" si="2"/>
        <v>11</v>
      </c>
      <c r="J13" s="59"/>
      <c r="K13" s="60"/>
      <c r="L13" s="186"/>
      <c r="M13" s="88">
        <f t="shared" si="3"/>
        <v>11</v>
      </c>
      <c r="N13" s="59">
        <v>10</v>
      </c>
      <c r="O13" s="60">
        <v>80</v>
      </c>
      <c r="P13" s="186"/>
      <c r="Q13" s="88">
        <f t="shared" si="4"/>
        <v>11</v>
      </c>
      <c r="R13" s="59">
        <v>10.56</v>
      </c>
      <c r="S13" s="60">
        <v>70</v>
      </c>
      <c r="T13" s="186"/>
      <c r="U13" s="88">
        <f t="shared" si="5"/>
        <v>11</v>
      </c>
      <c r="V13" s="59">
        <v>48.2</v>
      </c>
      <c r="W13" s="60">
        <v>582</v>
      </c>
      <c r="X13" s="186"/>
      <c r="Y13" s="88">
        <f t="shared" si="6"/>
        <v>11</v>
      </c>
      <c r="Z13" s="59"/>
      <c r="AA13" s="60"/>
      <c r="AB13" s="186"/>
      <c r="AC13" s="88">
        <f t="shared" si="7"/>
        <v>11</v>
      </c>
      <c r="AD13" s="59">
        <v>22.8</v>
      </c>
      <c r="AE13" s="60">
        <v>329</v>
      </c>
      <c r="AF13" s="186"/>
      <c r="AG13" s="88">
        <f t="shared" si="8"/>
        <v>11</v>
      </c>
      <c r="AH13" s="59"/>
      <c r="AI13" s="60"/>
      <c r="AJ13" s="186"/>
      <c r="AK13" s="88">
        <f t="shared" si="9"/>
        <v>11</v>
      </c>
      <c r="AL13" s="59"/>
      <c r="AM13" s="60"/>
      <c r="AN13" s="186"/>
      <c r="AO13" s="88">
        <f t="shared" si="10"/>
        <v>11</v>
      </c>
      <c r="AP13" s="59">
        <v>16.649999999999999</v>
      </c>
      <c r="AQ13" s="60">
        <v>33</v>
      </c>
      <c r="AR13" s="186"/>
      <c r="AS13" s="88">
        <f t="shared" si="11"/>
        <v>11</v>
      </c>
      <c r="AT13" s="59">
        <v>23.34</v>
      </c>
      <c r="AU13" s="60">
        <v>293</v>
      </c>
      <c r="AV13" s="186"/>
      <c r="AW13" s="73"/>
    </row>
    <row r="14" spans="1:49" s="54" customFormat="1" ht="11.25" x14ac:dyDescent="0.2">
      <c r="A14" s="86">
        <f t="shared" si="0"/>
        <v>12</v>
      </c>
      <c r="B14" s="59"/>
      <c r="C14" s="60"/>
      <c r="D14" s="186"/>
      <c r="E14" s="88">
        <f t="shared" si="1"/>
        <v>12</v>
      </c>
      <c r="F14" s="59"/>
      <c r="G14" s="60"/>
      <c r="H14" s="186"/>
      <c r="I14" s="88">
        <f t="shared" si="2"/>
        <v>12</v>
      </c>
      <c r="J14" s="59">
        <v>62.42</v>
      </c>
      <c r="K14" s="60">
        <v>816</v>
      </c>
      <c r="L14" s="186"/>
      <c r="M14" s="88">
        <f t="shared" si="3"/>
        <v>12</v>
      </c>
      <c r="N14" s="59"/>
      <c r="O14" s="60"/>
      <c r="P14" s="186"/>
      <c r="Q14" s="88">
        <f t="shared" si="4"/>
        <v>12</v>
      </c>
      <c r="R14" s="59">
        <v>14.76</v>
      </c>
      <c r="S14" s="60">
        <v>334</v>
      </c>
      <c r="T14" s="186"/>
      <c r="U14" s="88">
        <f t="shared" si="5"/>
        <v>12</v>
      </c>
      <c r="V14" s="59">
        <v>57.6</v>
      </c>
      <c r="W14" s="60">
        <v>1033</v>
      </c>
      <c r="X14" s="186"/>
      <c r="Y14" s="88">
        <f t="shared" si="6"/>
        <v>12</v>
      </c>
      <c r="Z14" s="59">
        <v>10.56</v>
      </c>
      <c r="AA14" s="60">
        <v>70</v>
      </c>
      <c r="AB14" s="186"/>
      <c r="AC14" s="88">
        <f t="shared" si="7"/>
        <v>12</v>
      </c>
      <c r="AD14" s="59">
        <v>16</v>
      </c>
      <c r="AE14" s="91">
        <v>65</v>
      </c>
      <c r="AF14" s="186"/>
      <c r="AG14" s="88">
        <f t="shared" si="8"/>
        <v>12</v>
      </c>
      <c r="AH14" s="59"/>
      <c r="AI14" s="60"/>
      <c r="AJ14" s="186"/>
      <c r="AK14" s="88">
        <f t="shared" si="9"/>
        <v>12</v>
      </c>
      <c r="AL14" s="59"/>
      <c r="AM14" s="60"/>
      <c r="AN14" s="186"/>
      <c r="AO14" s="88">
        <f t="shared" si="10"/>
        <v>12</v>
      </c>
      <c r="AP14" s="59">
        <v>33.799999999999997</v>
      </c>
      <c r="AQ14" s="60">
        <v>75</v>
      </c>
      <c r="AR14" s="186"/>
      <c r="AS14" s="88">
        <f t="shared" si="11"/>
        <v>12</v>
      </c>
      <c r="AT14" s="59"/>
      <c r="AU14" s="60"/>
      <c r="AV14" s="186"/>
      <c r="AW14" s="73"/>
    </row>
    <row r="15" spans="1:49" s="54" customFormat="1" ht="11.25" x14ac:dyDescent="0.2">
      <c r="A15" s="86">
        <f t="shared" si="0"/>
        <v>13</v>
      </c>
      <c r="B15" s="59"/>
      <c r="C15" s="60"/>
      <c r="D15" s="186"/>
      <c r="E15" s="88">
        <f t="shared" si="1"/>
        <v>13</v>
      </c>
      <c r="F15" s="59"/>
      <c r="G15" s="60"/>
      <c r="H15" s="186"/>
      <c r="I15" s="88">
        <f t="shared" si="2"/>
        <v>13</v>
      </c>
      <c r="J15" s="59"/>
      <c r="K15" s="60"/>
      <c r="L15" s="186"/>
      <c r="M15" s="88">
        <f t="shared" si="3"/>
        <v>13</v>
      </c>
      <c r="N15" s="59">
        <v>10</v>
      </c>
      <c r="O15" s="60">
        <v>80</v>
      </c>
      <c r="P15" s="186"/>
      <c r="Q15" s="88">
        <f t="shared" si="4"/>
        <v>13</v>
      </c>
      <c r="R15" s="59">
        <v>24.4</v>
      </c>
      <c r="S15" s="60">
        <v>530</v>
      </c>
      <c r="T15" s="186"/>
      <c r="U15" s="88">
        <f t="shared" si="5"/>
        <v>13</v>
      </c>
      <c r="V15" s="59">
        <v>14.9</v>
      </c>
      <c r="W15" s="60">
        <v>65</v>
      </c>
      <c r="X15" s="186"/>
      <c r="Y15" s="88">
        <f t="shared" si="6"/>
        <v>13</v>
      </c>
      <c r="Z15" s="59"/>
      <c r="AA15" s="60"/>
      <c r="AB15" s="186"/>
      <c r="AC15" s="88">
        <f t="shared" si="7"/>
        <v>13</v>
      </c>
      <c r="AD15" s="59">
        <v>63.69</v>
      </c>
      <c r="AE15" s="60">
        <v>647</v>
      </c>
      <c r="AF15" s="186"/>
      <c r="AG15" s="88">
        <f t="shared" si="8"/>
        <v>13</v>
      </c>
      <c r="AH15" s="59"/>
      <c r="AI15" s="60"/>
      <c r="AJ15" s="186"/>
      <c r="AK15" s="88">
        <f t="shared" si="9"/>
        <v>13</v>
      </c>
      <c r="AL15" s="59">
        <v>13.4</v>
      </c>
      <c r="AM15" s="60">
        <v>40</v>
      </c>
      <c r="AN15" s="186"/>
      <c r="AO15" s="88">
        <f t="shared" si="10"/>
        <v>13</v>
      </c>
      <c r="AP15" s="59">
        <v>17.490000000000002</v>
      </c>
      <c r="AQ15" s="60">
        <v>130</v>
      </c>
      <c r="AR15" s="186"/>
      <c r="AS15" s="88">
        <f t="shared" si="11"/>
        <v>13</v>
      </c>
      <c r="AT15" s="59">
        <v>10.66</v>
      </c>
      <c r="AU15" s="60">
        <v>100</v>
      </c>
      <c r="AV15" s="186"/>
      <c r="AW15" s="73"/>
    </row>
    <row r="16" spans="1:49" s="54" customFormat="1" ht="11.25" x14ac:dyDescent="0.2">
      <c r="A16" s="86">
        <f t="shared" si="0"/>
        <v>14</v>
      </c>
      <c r="B16" s="59">
        <v>17.5</v>
      </c>
      <c r="C16" s="60">
        <v>100</v>
      </c>
      <c r="D16" s="186"/>
      <c r="E16" s="88">
        <f t="shared" si="1"/>
        <v>14</v>
      </c>
      <c r="F16" s="59"/>
      <c r="G16" s="60"/>
      <c r="H16" s="186"/>
      <c r="I16" s="88">
        <f t="shared" si="2"/>
        <v>14</v>
      </c>
      <c r="J16" s="59"/>
      <c r="K16" s="60"/>
      <c r="L16" s="186"/>
      <c r="M16" s="88">
        <f t="shared" si="3"/>
        <v>14</v>
      </c>
      <c r="N16" s="59">
        <v>10.1</v>
      </c>
      <c r="O16" s="60">
        <v>306</v>
      </c>
      <c r="P16" s="186"/>
      <c r="Q16" s="88">
        <f t="shared" si="4"/>
        <v>14</v>
      </c>
      <c r="R16" s="59">
        <v>44</v>
      </c>
      <c r="S16" s="54">
        <v>750</v>
      </c>
      <c r="T16" s="186"/>
      <c r="U16" s="88">
        <f t="shared" si="5"/>
        <v>14</v>
      </c>
      <c r="V16" s="59">
        <v>35.9</v>
      </c>
      <c r="W16" s="60">
        <v>1033</v>
      </c>
      <c r="X16" s="186"/>
      <c r="Y16" s="88">
        <f t="shared" si="6"/>
        <v>14</v>
      </c>
      <c r="Z16" s="59">
        <v>12.41</v>
      </c>
      <c r="AA16" s="60">
        <v>80</v>
      </c>
      <c r="AB16" s="186"/>
      <c r="AC16" s="88">
        <f t="shared" si="7"/>
        <v>14</v>
      </c>
      <c r="AD16" s="59">
        <v>42.76</v>
      </c>
      <c r="AE16" s="60">
        <v>700</v>
      </c>
      <c r="AF16" s="186"/>
      <c r="AG16" s="88">
        <f t="shared" si="8"/>
        <v>14</v>
      </c>
      <c r="AH16" s="59">
        <v>17.66</v>
      </c>
      <c r="AI16" s="60">
        <v>419</v>
      </c>
      <c r="AJ16" s="186"/>
      <c r="AK16" s="88">
        <f t="shared" si="9"/>
        <v>14</v>
      </c>
      <c r="AL16" s="59">
        <v>20.3</v>
      </c>
      <c r="AM16" s="60">
        <v>360</v>
      </c>
      <c r="AN16" s="186"/>
      <c r="AO16" s="88">
        <f t="shared" si="10"/>
        <v>14</v>
      </c>
      <c r="AP16" s="59">
        <v>10.96</v>
      </c>
      <c r="AQ16" s="60">
        <v>17</v>
      </c>
      <c r="AR16" s="186"/>
      <c r="AS16" s="88">
        <f t="shared" si="11"/>
        <v>14</v>
      </c>
      <c r="AT16" s="59"/>
      <c r="AU16" s="60"/>
      <c r="AV16" s="186"/>
      <c r="AW16" s="73"/>
    </row>
    <row r="17" spans="1:49" s="54" customFormat="1" ht="11.25" x14ac:dyDescent="0.2">
      <c r="A17" s="86">
        <f t="shared" si="0"/>
        <v>15</v>
      </c>
      <c r="B17" s="59"/>
      <c r="C17" s="60"/>
      <c r="D17" s="186"/>
      <c r="E17" s="88">
        <f t="shared" si="1"/>
        <v>15</v>
      </c>
      <c r="F17" s="59">
        <v>15.86</v>
      </c>
      <c r="G17" s="60">
        <v>30</v>
      </c>
      <c r="H17" s="186"/>
      <c r="I17" s="88">
        <f t="shared" si="2"/>
        <v>15</v>
      </c>
      <c r="J17" s="59">
        <v>22.5</v>
      </c>
      <c r="K17" s="60">
        <v>75</v>
      </c>
      <c r="L17" s="186"/>
      <c r="M17" s="88">
        <f t="shared" si="3"/>
        <v>15</v>
      </c>
      <c r="N17" s="59">
        <v>10.43</v>
      </c>
      <c r="O17" s="60">
        <v>81</v>
      </c>
      <c r="P17" s="186"/>
      <c r="Q17" s="88">
        <f t="shared" si="4"/>
        <v>15</v>
      </c>
      <c r="R17" s="59"/>
      <c r="T17" s="186"/>
      <c r="U17" s="88">
        <f t="shared" si="5"/>
        <v>15</v>
      </c>
      <c r="V17" s="59">
        <v>63.04</v>
      </c>
      <c r="W17" s="60">
        <v>1910</v>
      </c>
      <c r="X17" s="186"/>
      <c r="Y17" s="88">
        <f t="shared" si="6"/>
        <v>15</v>
      </c>
      <c r="Z17" s="59">
        <v>20.5</v>
      </c>
      <c r="AA17" s="60">
        <v>370</v>
      </c>
      <c r="AB17" s="186"/>
      <c r="AC17" s="88">
        <f t="shared" si="7"/>
        <v>15</v>
      </c>
      <c r="AD17" s="59">
        <v>22.1</v>
      </c>
      <c r="AE17" s="60">
        <v>112</v>
      </c>
      <c r="AF17" s="186"/>
      <c r="AG17" s="88">
        <f t="shared" si="8"/>
        <v>15</v>
      </c>
      <c r="AH17" s="59">
        <v>16.43</v>
      </c>
      <c r="AI17" s="60">
        <v>346</v>
      </c>
      <c r="AJ17" s="186"/>
      <c r="AK17" s="88">
        <f t="shared" si="9"/>
        <v>15</v>
      </c>
      <c r="AL17" s="59">
        <v>46.06</v>
      </c>
      <c r="AM17" s="60">
        <v>650</v>
      </c>
      <c r="AN17" s="186"/>
      <c r="AO17" s="88">
        <f t="shared" si="10"/>
        <v>15</v>
      </c>
      <c r="AP17" s="59">
        <v>11.3</v>
      </c>
      <c r="AQ17" s="60">
        <v>60</v>
      </c>
      <c r="AR17" s="186"/>
      <c r="AS17" s="88">
        <f t="shared" si="11"/>
        <v>15</v>
      </c>
      <c r="AT17" s="59">
        <v>14.26</v>
      </c>
      <c r="AU17" s="60">
        <v>74</v>
      </c>
      <c r="AV17" s="186"/>
      <c r="AW17" s="73"/>
    </row>
    <row r="18" spans="1:49" s="54" customFormat="1" ht="11.25" x14ac:dyDescent="0.2">
      <c r="A18" s="86">
        <f t="shared" si="0"/>
        <v>16</v>
      </c>
      <c r="B18" s="59">
        <v>34.4</v>
      </c>
      <c r="C18" s="60">
        <v>600</v>
      </c>
      <c r="D18" s="186"/>
      <c r="E18" s="88">
        <f t="shared" si="1"/>
        <v>16</v>
      </c>
      <c r="F18" s="59">
        <v>11.8</v>
      </c>
      <c r="G18" s="60">
        <v>42</v>
      </c>
      <c r="H18" s="186"/>
      <c r="I18" s="88">
        <f t="shared" si="2"/>
        <v>16</v>
      </c>
      <c r="J18" s="59">
        <v>11</v>
      </c>
      <c r="K18" s="60">
        <v>13</v>
      </c>
      <c r="L18" s="186"/>
      <c r="M18" s="88">
        <f t="shared" si="3"/>
        <v>16</v>
      </c>
      <c r="N18" s="59">
        <v>27.22</v>
      </c>
      <c r="O18" s="60">
        <v>175</v>
      </c>
      <c r="P18" s="186"/>
      <c r="Q18" s="88">
        <f t="shared" si="4"/>
        <v>16</v>
      </c>
      <c r="R18" s="59">
        <v>10</v>
      </c>
      <c r="S18" s="60">
        <v>20</v>
      </c>
      <c r="T18" s="186"/>
      <c r="U18" s="88">
        <f t="shared" si="5"/>
        <v>16</v>
      </c>
      <c r="V18" s="59">
        <v>55.8</v>
      </c>
      <c r="W18" s="60">
        <v>1000</v>
      </c>
      <c r="X18" s="186"/>
      <c r="Y18" s="88">
        <f t="shared" si="6"/>
        <v>16</v>
      </c>
      <c r="Z18" s="59">
        <v>101.35</v>
      </c>
      <c r="AA18" s="60">
        <v>1300</v>
      </c>
      <c r="AB18" s="186"/>
      <c r="AC18" s="88">
        <f t="shared" si="7"/>
        <v>16</v>
      </c>
      <c r="AD18" s="59">
        <v>21.5</v>
      </c>
      <c r="AE18" s="60">
        <v>90</v>
      </c>
      <c r="AF18" s="186"/>
      <c r="AG18" s="88">
        <f t="shared" si="8"/>
        <v>16</v>
      </c>
      <c r="AH18" s="59">
        <v>18.760000000000002</v>
      </c>
      <c r="AI18" s="60">
        <v>350</v>
      </c>
      <c r="AJ18" s="186"/>
      <c r="AK18" s="88">
        <f t="shared" si="9"/>
        <v>16</v>
      </c>
      <c r="AL18" s="59">
        <v>50.26</v>
      </c>
      <c r="AM18" s="60">
        <v>470</v>
      </c>
      <c r="AN18" s="186"/>
      <c r="AO18" s="88">
        <f t="shared" si="10"/>
        <v>16</v>
      </c>
      <c r="AP18" s="59">
        <v>10.7</v>
      </c>
      <c r="AQ18" s="60">
        <v>60</v>
      </c>
      <c r="AR18" s="186"/>
      <c r="AS18" s="88">
        <f t="shared" si="11"/>
        <v>16</v>
      </c>
      <c r="AT18" s="59"/>
      <c r="AU18" s="60"/>
      <c r="AV18" s="186">
        <v>3.125E-2</v>
      </c>
      <c r="AW18" s="73"/>
    </row>
    <row r="19" spans="1:49" s="54" customFormat="1" ht="11.25" x14ac:dyDescent="0.2">
      <c r="A19" s="86">
        <f t="shared" si="0"/>
        <v>17</v>
      </c>
      <c r="B19" s="59">
        <v>15.85</v>
      </c>
      <c r="C19" s="60">
        <v>292</v>
      </c>
      <c r="D19" s="186"/>
      <c r="E19" s="88">
        <f t="shared" si="1"/>
        <v>17</v>
      </c>
      <c r="F19" s="59">
        <v>14.23</v>
      </c>
      <c r="G19" s="60">
        <v>20</v>
      </c>
      <c r="H19" s="186"/>
      <c r="I19" s="88">
        <f t="shared" si="2"/>
        <v>17</v>
      </c>
      <c r="J19" s="59"/>
      <c r="K19" s="60"/>
      <c r="L19" s="186"/>
      <c r="M19" s="88">
        <f t="shared" si="3"/>
        <v>17</v>
      </c>
      <c r="N19" s="59">
        <v>59.88</v>
      </c>
      <c r="O19" s="60">
        <v>612</v>
      </c>
      <c r="P19" s="186"/>
      <c r="Q19" s="88">
        <f t="shared" si="4"/>
        <v>17</v>
      </c>
      <c r="R19" s="59">
        <v>12.56</v>
      </c>
      <c r="S19" s="60">
        <v>70</v>
      </c>
      <c r="T19" s="186"/>
      <c r="U19" s="88">
        <f t="shared" si="5"/>
        <v>17</v>
      </c>
      <c r="V19" s="59"/>
      <c r="W19" s="60"/>
      <c r="X19" s="186"/>
      <c r="Y19" s="88">
        <f t="shared" si="6"/>
        <v>17</v>
      </c>
      <c r="Z19" s="59"/>
      <c r="AA19" s="60"/>
      <c r="AB19" s="186"/>
      <c r="AC19" s="88">
        <f t="shared" si="7"/>
        <v>17</v>
      </c>
      <c r="AD19" s="59">
        <v>14.4</v>
      </c>
      <c r="AE19" s="60">
        <v>170</v>
      </c>
      <c r="AF19" s="186"/>
      <c r="AG19" s="88">
        <f t="shared" si="8"/>
        <v>17</v>
      </c>
      <c r="AH19" s="59">
        <v>12.84</v>
      </c>
      <c r="AI19" s="60">
        <v>286</v>
      </c>
      <c r="AJ19" s="186"/>
      <c r="AK19" s="88">
        <f t="shared" si="9"/>
        <v>17</v>
      </c>
      <c r="AL19" s="59">
        <v>20.25</v>
      </c>
      <c r="AM19" s="60">
        <v>10</v>
      </c>
      <c r="AN19" s="186"/>
      <c r="AO19" s="88">
        <f t="shared" si="10"/>
        <v>17</v>
      </c>
      <c r="AP19" s="59">
        <v>12.3</v>
      </c>
      <c r="AQ19" s="60">
        <v>60</v>
      </c>
      <c r="AR19" s="186"/>
      <c r="AS19" s="88">
        <f t="shared" si="11"/>
        <v>17</v>
      </c>
      <c r="AT19" s="59">
        <v>28.65</v>
      </c>
      <c r="AU19" s="60">
        <v>317</v>
      </c>
      <c r="AV19" s="186">
        <v>3.125E-2</v>
      </c>
      <c r="AW19" s="73"/>
    </row>
    <row r="20" spans="1:49" s="54" customFormat="1" ht="11.25" x14ac:dyDescent="0.2">
      <c r="A20" s="86">
        <f t="shared" si="0"/>
        <v>18</v>
      </c>
      <c r="B20" s="59">
        <v>15.48</v>
      </c>
      <c r="C20" s="60">
        <v>96</v>
      </c>
      <c r="D20" s="186"/>
      <c r="E20" s="88">
        <f t="shared" si="1"/>
        <v>18</v>
      </c>
      <c r="F20" s="59">
        <v>16.739999999999998</v>
      </c>
      <c r="G20" s="60">
        <v>150</v>
      </c>
      <c r="H20" s="186"/>
      <c r="I20" s="88">
        <f t="shared" si="2"/>
        <v>18</v>
      </c>
      <c r="J20" s="59">
        <v>16.86</v>
      </c>
      <c r="K20" s="60">
        <v>163</v>
      </c>
      <c r="L20" s="186"/>
      <c r="M20" s="88">
        <f t="shared" si="3"/>
        <v>18</v>
      </c>
      <c r="N20" s="59">
        <v>22.06</v>
      </c>
      <c r="O20" s="60">
        <v>83</v>
      </c>
      <c r="P20" s="186"/>
      <c r="Q20" s="88">
        <f t="shared" si="4"/>
        <v>18</v>
      </c>
      <c r="R20" s="59">
        <v>12.56</v>
      </c>
      <c r="S20" s="60">
        <v>70</v>
      </c>
      <c r="T20" s="186"/>
      <c r="U20" s="88">
        <f t="shared" si="5"/>
        <v>18</v>
      </c>
      <c r="V20" s="59">
        <v>10</v>
      </c>
      <c r="W20" s="60">
        <v>20</v>
      </c>
      <c r="X20" s="186"/>
      <c r="Y20" s="88">
        <f t="shared" si="6"/>
        <v>18</v>
      </c>
      <c r="Z20" s="59">
        <v>15.5</v>
      </c>
      <c r="AA20" s="60">
        <v>100</v>
      </c>
      <c r="AB20" s="186"/>
      <c r="AC20" s="88">
        <f t="shared" si="7"/>
        <v>18</v>
      </c>
      <c r="AD20" s="59">
        <v>14.4</v>
      </c>
      <c r="AE20" s="60">
        <v>170</v>
      </c>
      <c r="AF20" s="186"/>
      <c r="AG20" s="88">
        <f t="shared" si="8"/>
        <v>18</v>
      </c>
      <c r="AH20" s="59">
        <v>14.27</v>
      </c>
      <c r="AI20" s="60">
        <v>45</v>
      </c>
      <c r="AJ20" s="186"/>
      <c r="AK20" s="88">
        <f t="shared" si="9"/>
        <v>18</v>
      </c>
      <c r="AL20" s="59">
        <v>12.84</v>
      </c>
      <c r="AM20" s="60">
        <v>286</v>
      </c>
      <c r="AN20" s="186"/>
      <c r="AO20" s="88">
        <f t="shared" si="10"/>
        <v>18</v>
      </c>
      <c r="AP20" s="59">
        <v>12.84</v>
      </c>
      <c r="AQ20" s="60">
        <v>286</v>
      </c>
      <c r="AR20" s="186"/>
      <c r="AS20" s="88">
        <f t="shared" si="11"/>
        <v>18</v>
      </c>
      <c r="AT20" s="59">
        <v>22.9</v>
      </c>
      <c r="AU20" s="60">
        <v>157</v>
      </c>
      <c r="AV20" s="186"/>
      <c r="AW20" s="73"/>
    </row>
    <row r="21" spans="1:49" s="54" customFormat="1" ht="11.25" x14ac:dyDescent="0.2">
      <c r="A21" s="86">
        <f t="shared" si="0"/>
        <v>19</v>
      </c>
      <c r="B21" s="59"/>
      <c r="C21" s="60"/>
      <c r="D21" s="186"/>
      <c r="E21" s="88">
        <f t="shared" si="1"/>
        <v>19</v>
      </c>
      <c r="F21" s="59">
        <v>15.3</v>
      </c>
      <c r="G21" s="60">
        <v>160</v>
      </c>
      <c r="H21" s="186">
        <v>2.7777777777777776E-2</v>
      </c>
      <c r="I21" s="88">
        <f t="shared" si="2"/>
        <v>19</v>
      </c>
      <c r="J21" s="59">
        <v>30.5</v>
      </c>
      <c r="K21" s="60">
        <v>310</v>
      </c>
      <c r="L21" s="186"/>
      <c r="M21" s="88">
        <f t="shared" si="3"/>
        <v>19</v>
      </c>
      <c r="N21" s="59">
        <v>11.84</v>
      </c>
      <c r="O21" s="60">
        <v>80</v>
      </c>
      <c r="P21" s="186"/>
      <c r="Q21" s="88">
        <f t="shared" si="4"/>
        <v>19</v>
      </c>
      <c r="R21" s="59"/>
      <c r="S21" s="60"/>
      <c r="T21" s="186"/>
      <c r="U21" s="88">
        <f t="shared" si="5"/>
        <v>19</v>
      </c>
      <c r="V21" s="59"/>
      <c r="W21" s="60"/>
      <c r="X21" s="186">
        <v>2.0833333333333332E-2</v>
      </c>
      <c r="Y21" s="88">
        <f t="shared" si="6"/>
        <v>19</v>
      </c>
      <c r="Z21" s="59">
        <v>19.670000000000002</v>
      </c>
      <c r="AA21" s="60">
        <v>357</v>
      </c>
      <c r="AB21" s="186"/>
      <c r="AC21" s="88">
        <f t="shared" si="7"/>
        <v>19</v>
      </c>
      <c r="AD21" s="59"/>
      <c r="AE21" s="60"/>
      <c r="AF21" s="186"/>
      <c r="AG21" s="88">
        <f t="shared" si="8"/>
        <v>19</v>
      </c>
      <c r="AH21" s="59">
        <v>12</v>
      </c>
      <c r="AI21" s="60">
        <v>2</v>
      </c>
      <c r="AJ21" s="186"/>
      <c r="AK21" s="88">
        <f t="shared" si="9"/>
        <v>19</v>
      </c>
      <c r="AL21" s="59"/>
      <c r="AM21" s="60"/>
      <c r="AN21" s="186"/>
      <c r="AO21" s="88">
        <f t="shared" si="10"/>
        <v>19</v>
      </c>
      <c r="AP21" s="59">
        <v>32.900000000000006</v>
      </c>
      <c r="AQ21" s="60">
        <v>180</v>
      </c>
      <c r="AR21" s="186"/>
      <c r="AS21" s="88">
        <f t="shared" si="11"/>
        <v>19</v>
      </c>
      <c r="AT21" s="59">
        <v>9.1999999999999993</v>
      </c>
      <c r="AU21" s="60">
        <v>80</v>
      </c>
      <c r="AV21" s="186"/>
      <c r="AW21" s="73"/>
    </row>
    <row r="22" spans="1:49" s="54" customFormat="1" ht="11.25" x14ac:dyDescent="0.2">
      <c r="A22" s="86">
        <f t="shared" si="0"/>
        <v>20</v>
      </c>
      <c r="B22" s="59"/>
      <c r="C22" s="60"/>
      <c r="D22" s="186"/>
      <c r="E22" s="88">
        <f t="shared" si="1"/>
        <v>20</v>
      </c>
      <c r="F22" s="59"/>
      <c r="G22" s="60"/>
      <c r="H22" s="186"/>
      <c r="I22" s="88">
        <f t="shared" si="2"/>
        <v>20</v>
      </c>
      <c r="J22" s="59">
        <v>45.94</v>
      </c>
      <c r="K22" s="60">
        <v>508</v>
      </c>
      <c r="L22" s="186"/>
      <c r="M22" s="88">
        <f t="shared" si="3"/>
        <v>20</v>
      </c>
      <c r="N22" s="59">
        <v>30.05</v>
      </c>
      <c r="O22" s="60">
        <v>190</v>
      </c>
      <c r="P22" s="186"/>
      <c r="Q22" s="88">
        <f t="shared" si="4"/>
        <v>20</v>
      </c>
      <c r="R22" s="59">
        <v>24.4</v>
      </c>
      <c r="S22" s="60">
        <v>530</v>
      </c>
      <c r="T22" s="186"/>
      <c r="U22" s="88">
        <f t="shared" si="5"/>
        <v>20</v>
      </c>
      <c r="V22" s="59">
        <v>10.56</v>
      </c>
      <c r="W22" s="60">
        <v>70</v>
      </c>
      <c r="X22" s="186"/>
      <c r="Y22" s="88">
        <f t="shared" si="6"/>
        <v>20</v>
      </c>
      <c r="Z22" s="59"/>
      <c r="AA22" s="60"/>
      <c r="AB22" s="186"/>
      <c r="AC22" s="88">
        <f t="shared" si="7"/>
        <v>20</v>
      </c>
      <c r="AD22" s="59">
        <v>89.34</v>
      </c>
      <c r="AE22" s="60">
        <v>1220</v>
      </c>
      <c r="AF22" s="186"/>
      <c r="AG22" s="88">
        <f t="shared" si="8"/>
        <v>20</v>
      </c>
      <c r="AH22" s="59">
        <v>12.84</v>
      </c>
      <c r="AI22" s="60">
        <v>286</v>
      </c>
      <c r="AJ22" s="186"/>
      <c r="AK22" s="88">
        <f t="shared" si="9"/>
        <v>20</v>
      </c>
      <c r="AL22" s="59">
        <v>18.060000000000002</v>
      </c>
      <c r="AM22" s="60">
        <v>48</v>
      </c>
      <c r="AN22" s="186"/>
      <c r="AO22" s="88">
        <f t="shared" si="10"/>
        <v>20</v>
      </c>
      <c r="AP22" s="59">
        <v>15</v>
      </c>
      <c r="AQ22" s="60">
        <v>10</v>
      </c>
      <c r="AR22" s="186"/>
      <c r="AS22" s="88">
        <f t="shared" si="11"/>
        <v>20</v>
      </c>
      <c r="AT22" s="59"/>
      <c r="AU22" s="60"/>
      <c r="AV22" s="186"/>
      <c r="AW22" s="73"/>
    </row>
    <row r="23" spans="1:49" s="54" customFormat="1" ht="11.25" x14ac:dyDescent="0.2">
      <c r="A23" s="86">
        <f t="shared" si="0"/>
        <v>21</v>
      </c>
      <c r="B23" s="59"/>
      <c r="C23" s="60"/>
      <c r="D23" s="186"/>
      <c r="E23" s="88">
        <f t="shared" si="1"/>
        <v>21</v>
      </c>
      <c r="F23" s="59">
        <v>10</v>
      </c>
      <c r="G23" s="60">
        <v>2</v>
      </c>
      <c r="H23" s="186"/>
      <c r="I23" s="88">
        <f t="shared" si="2"/>
        <v>21</v>
      </c>
      <c r="J23" s="59">
        <v>18.739999999999998</v>
      </c>
      <c r="K23" s="60">
        <v>91</v>
      </c>
      <c r="L23" s="186"/>
      <c r="M23" s="88">
        <f t="shared" si="3"/>
        <v>21</v>
      </c>
      <c r="N23" s="59">
        <v>10</v>
      </c>
      <c r="O23" s="60">
        <v>80</v>
      </c>
      <c r="P23" s="186"/>
      <c r="Q23" s="88">
        <f t="shared" si="4"/>
        <v>21</v>
      </c>
      <c r="R23" s="59">
        <v>51.67</v>
      </c>
      <c r="S23" s="60">
        <v>1105</v>
      </c>
      <c r="T23" s="186"/>
      <c r="U23" s="88">
        <f t="shared" si="5"/>
        <v>21</v>
      </c>
      <c r="V23" s="59">
        <v>14.45</v>
      </c>
      <c r="W23" s="60">
        <v>140</v>
      </c>
      <c r="X23" s="186"/>
      <c r="Y23" s="88">
        <f t="shared" si="6"/>
        <v>21</v>
      </c>
      <c r="Z23" s="59"/>
      <c r="AA23" s="60"/>
      <c r="AB23" s="186">
        <v>2.0833333333333332E-2</v>
      </c>
      <c r="AC23" s="88">
        <f t="shared" si="7"/>
        <v>21</v>
      </c>
      <c r="AD23" s="59">
        <v>37.56</v>
      </c>
      <c r="AE23" s="60">
        <v>370</v>
      </c>
      <c r="AF23" s="186"/>
      <c r="AG23" s="88">
        <f t="shared" si="8"/>
        <v>21</v>
      </c>
      <c r="AH23" s="59">
        <v>17.66</v>
      </c>
      <c r="AI23" s="60">
        <v>419</v>
      </c>
      <c r="AJ23" s="186"/>
      <c r="AK23" s="88">
        <f t="shared" si="9"/>
        <v>21</v>
      </c>
      <c r="AL23" s="59">
        <v>15.3</v>
      </c>
      <c r="AM23" s="60">
        <v>220</v>
      </c>
      <c r="AN23" s="186"/>
      <c r="AO23" s="88">
        <f t="shared" si="10"/>
        <v>21</v>
      </c>
      <c r="AP23" s="59">
        <v>10.3</v>
      </c>
      <c r="AQ23" s="60">
        <v>60</v>
      </c>
      <c r="AR23" s="186"/>
      <c r="AS23" s="88">
        <f t="shared" si="11"/>
        <v>21</v>
      </c>
      <c r="AT23" s="59"/>
      <c r="AU23" s="60"/>
      <c r="AV23" s="186"/>
      <c r="AW23" s="73"/>
    </row>
    <row r="24" spans="1:49" s="54" customFormat="1" ht="11.25" x14ac:dyDescent="0.2">
      <c r="A24" s="86">
        <f t="shared" si="0"/>
        <v>22</v>
      </c>
      <c r="B24" s="59">
        <v>31.9</v>
      </c>
      <c r="C24" s="60">
        <v>210</v>
      </c>
      <c r="D24" s="186"/>
      <c r="E24" s="88">
        <f t="shared" si="1"/>
        <v>22</v>
      </c>
      <c r="F24" s="59">
        <v>20.56</v>
      </c>
      <c r="G24" s="60">
        <v>70</v>
      </c>
      <c r="H24" s="186"/>
      <c r="I24" s="88">
        <f t="shared" si="2"/>
        <v>22</v>
      </c>
      <c r="J24" s="59">
        <v>11</v>
      </c>
      <c r="K24" s="60">
        <v>20</v>
      </c>
      <c r="L24" s="186"/>
      <c r="M24" s="88">
        <f t="shared" si="3"/>
        <v>22</v>
      </c>
      <c r="N24" s="59">
        <v>90.44</v>
      </c>
      <c r="O24" s="60">
        <v>989</v>
      </c>
      <c r="P24" s="186"/>
      <c r="Q24" s="88">
        <f t="shared" si="4"/>
        <v>22</v>
      </c>
      <c r="R24" s="59">
        <v>60.2</v>
      </c>
      <c r="S24" s="54">
        <v>696</v>
      </c>
      <c r="T24" s="186"/>
      <c r="U24" s="88">
        <f t="shared" si="5"/>
        <v>22</v>
      </c>
      <c r="V24" s="59">
        <v>55.66</v>
      </c>
      <c r="W24" s="60">
        <v>670</v>
      </c>
      <c r="X24" s="186"/>
      <c r="Y24" s="88">
        <f t="shared" si="6"/>
        <v>22</v>
      </c>
      <c r="Z24" s="59">
        <v>16.850000000000001</v>
      </c>
      <c r="AA24" s="60">
        <v>536</v>
      </c>
      <c r="AB24" s="186"/>
      <c r="AC24" s="88">
        <f t="shared" si="7"/>
        <v>22</v>
      </c>
      <c r="AD24" s="59">
        <v>28.2</v>
      </c>
      <c r="AE24" s="60">
        <v>400</v>
      </c>
      <c r="AF24" s="186"/>
      <c r="AG24" s="88">
        <f t="shared" si="8"/>
        <v>22</v>
      </c>
      <c r="AH24" s="59">
        <v>10</v>
      </c>
      <c r="AI24" s="60">
        <v>13</v>
      </c>
      <c r="AJ24" s="186"/>
      <c r="AK24" s="88">
        <f t="shared" si="9"/>
        <v>22</v>
      </c>
      <c r="AL24" s="59">
        <v>48.48</v>
      </c>
      <c r="AM24" s="60">
        <v>510</v>
      </c>
      <c r="AN24" s="186"/>
      <c r="AO24" s="88">
        <f t="shared" si="10"/>
        <v>22</v>
      </c>
      <c r="AP24" s="59">
        <v>10.6</v>
      </c>
      <c r="AQ24" s="60">
        <v>40</v>
      </c>
      <c r="AR24" s="186"/>
      <c r="AS24" s="88">
        <f t="shared" si="11"/>
        <v>22</v>
      </c>
      <c r="AT24" s="59"/>
      <c r="AU24" s="60"/>
      <c r="AV24" s="186"/>
      <c r="AW24" s="73"/>
    </row>
    <row r="25" spans="1:49" s="54" customFormat="1" ht="11.25" x14ac:dyDescent="0.2">
      <c r="A25" s="86">
        <f t="shared" si="0"/>
        <v>23</v>
      </c>
      <c r="B25" s="59"/>
      <c r="C25" s="60"/>
      <c r="D25" s="186">
        <v>4.1666666666666664E-2</v>
      </c>
      <c r="E25" s="88">
        <f t="shared" si="1"/>
        <v>23</v>
      </c>
      <c r="F25" s="59"/>
      <c r="G25" s="60"/>
      <c r="H25" s="186"/>
      <c r="I25" s="88">
        <f t="shared" si="2"/>
        <v>23</v>
      </c>
      <c r="J25" s="59">
        <v>17</v>
      </c>
      <c r="K25" s="60">
        <v>26</v>
      </c>
      <c r="L25" s="186"/>
      <c r="M25" s="88">
        <f t="shared" si="3"/>
        <v>23</v>
      </c>
      <c r="N25" s="59">
        <v>62.42</v>
      </c>
      <c r="O25" s="60">
        <v>816</v>
      </c>
      <c r="P25" s="186"/>
      <c r="Q25" s="88">
        <f t="shared" si="4"/>
        <v>23</v>
      </c>
      <c r="R25" s="59">
        <v>11</v>
      </c>
      <c r="S25" s="60">
        <v>20</v>
      </c>
      <c r="T25" s="186"/>
      <c r="U25" s="88">
        <f t="shared" si="5"/>
        <v>23</v>
      </c>
      <c r="V25" s="59">
        <v>47.7</v>
      </c>
      <c r="W25" s="60">
        <v>582</v>
      </c>
      <c r="X25" s="186"/>
      <c r="Y25" s="88">
        <f t="shared" si="6"/>
        <v>23</v>
      </c>
      <c r="Z25" s="59">
        <v>62.42</v>
      </c>
      <c r="AA25" s="60">
        <v>843</v>
      </c>
      <c r="AB25" s="186"/>
      <c r="AC25" s="88">
        <f t="shared" si="7"/>
        <v>23</v>
      </c>
      <c r="AD25" s="59">
        <v>12.61</v>
      </c>
      <c r="AE25" s="60">
        <v>320</v>
      </c>
      <c r="AF25" s="186"/>
      <c r="AG25" s="88">
        <f t="shared" si="8"/>
        <v>23</v>
      </c>
      <c r="AH25" s="59">
        <v>19.649999999999999</v>
      </c>
      <c r="AI25" s="60">
        <v>281</v>
      </c>
      <c r="AJ25" s="186"/>
      <c r="AK25" s="88">
        <f t="shared" si="9"/>
        <v>23</v>
      </c>
      <c r="AL25" s="59">
        <v>40.06</v>
      </c>
      <c r="AM25" s="60">
        <v>152</v>
      </c>
      <c r="AN25" s="186"/>
      <c r="AO25" s="88">
        <f t="shared" si="10"/>
        <v>23</v>
      </c>
      <c r="AP25" s="59">
        <v>10.6</v>
      </c>
      <c r="AQ25" s="60">
        <v>40</v>
      </c>
      <c r="AR25" s="186"/>
      <c r="AS25" s="88">
        <f t="shared" si="11"/>
        <v>23</v>
      </c>
      <c r="AT25" s="59">
        <v>16</v>
      </c>
      <c r="AU25" s="60">
        <v>182</v>
      </c>
      <c r="AV25" s="186"/>
      <c r="AW25" s="73"/>
    </row>
    <row r="26" spans="1:49" s="54" customFormat="1" ht="11.25" x14ac:dyDescent="0.2">
      <c r="A26" s="86">
        <f t="shared" si="0"/>
        <v>24</v>
      </c>
      <c r="B26" s="59"/>
      <c r="C26" s="60"/>
      <c r="D26" s="186"/>
      <c r="E26" s="88">
        <f t="shared" si="1"/>
        <v>24</v>
      </c>
      <c r="F26" s="59">
        <v>20.74</v>
      </c>
      <c r="G26" s="60">
        <v>15</v>
      </c>
      <c r="H26" s="186"/>
      <c r="I26" s="88">
        <f t="shared" si="2"/>
        <v>24</v>
      </c>
      <c r="J26" s="59">
        <v>20.05</v>
      </c>
      <c r="K26" s="60">
        <v>55</v>
      </c>
      <c r="L26" s="186"/>
      <c r="M26" s="88">
        <f t="shared" si="3"/>
        <v>24</v>
      </c>
      <c r="N26" s="59">
        <v>80.13</v>
      </c>
      <c r="O26" s="60">
        <v>55</v>
      </c>
      <c r="P26" s="186"/>
      <c r="Q26" s="88">
        <f t="shared" si="4"/>
        <v>24</v>
      </c>
      <c r="R26" s="59">
        <v>11</v>
      </c>
      <c r="S26" s="60">
        <v>20</v>
      </c>
      <c r="T26" s="186"/>
      <c r="U26" s="88">
        <f t="shared" si="5"/>
        <v>24</v>
      </c>
      <c r="V26" s="59">
        <v>35.67</v>
      </c>
      <c r="W26" s="60">
        <v>244</v>
      </c>
      <c r="X26" s="186"/>
      <c r="Y26" s="88">
        <f t="shared" si="6"/>
        <v>24</v>
      </c>
      <c r="Z26" s="59">
        <v>14.45</v>
      </c>
      <c r="AA26" s="60">
        <v>140</v>
      </c>
      <c r="AB26" s="186"/>
      <c r="AC26" s="88">
        <f t="shared" si="7"/>
        <v>24</v>
      </c>
      <c r="AD26" s="59">
        <v>17</v>
      </c>
      <c r="AE26" s="60">
        <v>370</v>
      </c>
      <c r="AF26" s="186"/>
      <c r="AG26" s="88">
        <f t="shared" si="8"/>
        <v>24</v>
      </c>
      <c r="AH26" s="59">
        <v>85</v>
      </c>
      <c r="AI26" s="60">
        <v>2200</v>
      </c>
      <c r="AJ26" s="186"/>
      <c r="AK26" s="88">
        <f t="shared" si="9"/>
        <v>24</v>
      </c>
      <c r="AL26" s="59">
        <v>19.649999999999999</v>
      </c>
      <c r="AM26" s="60">
        <v>281</v>
      </c>
      <c r="AN26" s="186"/>
      <c r="AO26" s="88">
        <f t="shared" si="10"/>
        <v>24</v>
      </c>
      <c r="AP26" s="59">
        <v>13.55</v>
      </c>
      <c r="AQ26" s="60">
        <v>55</v>
      </c>
      <c r="AR26" s="186"/>
      <c r="AS26" s="88">
        <f t="shared" si="11"/>
        <v>24</v>
      </c>
      <c r="AT26" s="59">
        <v>12.84</v>
      </c>
      <c r="AU26" s="60">
        <v>286</v>
      </c>
      <c r="AV26" s="186"/>
      <c r="AW26" s="73"/>
    </row>
    <row r="27" spans="1:49" s="54" customFormat="1" ht="11.25" x14ac:dyDescent="0.2">
      <c r="A27" s="86">
        <f t="shared" si="0"/>
        <v>25</v>
      </c>
      <c r="B27" s="59"/>
      <c r="C27" s="60"/>
      <c r="D27" s="186"/>
      <c r="E27" s="88">
        <f t="shared" si="1"/>
        <v>25</v>
      </c>
      <c r="F27" s="59">
        <v>29.55</v>
      </c>
      <c r="G27" s="60">
        <v>190</v>
      </c>
      <c r="H27" s="186"/>
      <c r="I27" s="88">
        <f t="shared" si="2"/>
        <v>25</v>
      </c>
      <c r="J27" s="59">
        <v>14.45</v>
      </c>
      <c r="K27" s="60">
        <v>140</v>
      </c>
      <c r="L27" s="186"/>
      <c r="M27" s="88">
        <f t="shared" si="3"/>
        <v>25</v>
      </c>
      <c r="N27" s="59">
        <v>62.33</v>
      </c>
      <c r="O27" s="60">
        <v>620</v>
      </c>
      <c r="P27" s="186"/>
      <c r="Q27" s="88">
        <f t="shared" si="4"/>
        <v>25</v>
      </c>
      <c r="R27" s="59">
        <v>10.56</v>
      </c>
      <c r="S27" s="60">
        <v>70</v>
      </c>
      <c r="T27" s="186"/>
      <c r="U27" s="88">
        <f t="shared" si="5"/>
        <v>25</v>
      </c>
      <c r="V27" s="59">
        <v>17.2</v>
      </c>
      <c r="W27" s="60">
        <v>417</v>
      </c>
      <c r="X27" s="186"/>
      <c r="Y27" s="88">
        <f t="shared" si="6"/>
        <v>25</v>
      </c>
      <c r="Z27" s="59">
        <v>20.56</v>
      </c>
      <c r="AA27" s="60">
        <v>90</v>
      </c>
      <c r="AB27" s="186"/>
      <c r="AC27" s="88">
        <f t="shared" si="7"/>
        <v>25</v>
      </c>
      <c r="AD27" s="59">
        <v>13.65</v>
      </c>
      <c r="AE27" s="60">
        <v>54</v>
      </c>
      <c r="AF27" s="186"/>
      <c r="AG27" s="88">
        <f t="shared" si="8"/>
        <v>25</v>
      </c>
      <c r="AH27" s="59">
        <v>28.72</v>
      </c>
      <c r="AI27" s="60">
        <v>185</v>
      </c>
      <c r="AJ27" s="186"/>
      <c r="AK27" s="88">
        <f t="shared" si="9"/>
        <v>25</v>
      </c>
      <c r="AL27" s="59"/>
      <c r="AM27" s="60"/>
      <c r="AN27" s="186"/>
      <c r="AO27" s="88">
        <f t="shared" si="10"/>
        <v>25</v>
      </c>
      <c r="AP27" s="59"/>
      <c r="AQ27" s="60"/>
      <c r="AR27" s="186"/>
      <c r="AS27" s="88">
        <f t="shared" si="11"/>
        <v>25</v>
      </c>
      <c r="AT27" s="59">
        <v>11.2</v>
      </c>
      <c r="AU27" s="60">
        <v>37</v>
      </c>
      <c r="AV27" s="186"/>
      <c r="AW27" s="73"/>
    </row>
    <row r="28" spans="1:49" s="54" customFormat="1" ht="11.25" x14ac:dyDescent="0.2">
      <c r="A28" s="86">
        <f t="shared" si="0"/>
        <v>26</v>
      </c>
      <c r="B28" s="59"/>
      <c r="C28" s="60"/>
      <c r="D28" s="186"/>
      <c r="E28" s="88">
        <f t="shared" si="1"/>
        <v>26</v>
      </c>
      <c r="F28" s="59">
        <v>65.12</v>
      </c>
      <c r="G28" s="60">
        <v>591</v>
      </c>
      <c r="H28" s="186"/>
      <c r="I28" s="88">
        <f t="shared" si="2"/>
        <v>26</v>
      </c>
      <c r="J28" s="59">
        <v>21.2</v>
      </c>
      <c r="K28" s="60">
        <v>30</v>
      </c>
      <c r="L28" s="186"/>
      <c r="M28" s="88">
        <f t="shared" si="3"/>
        <v>26</v>
      </c>
      <c r="N28" s="59"/>
      <c r="O28" s="60"/>
      <c r="P28" s="186"/>
      <c r="Q28" s="88">
        <f t="shared" si="4"/>
        <v>26</v>
      </c>
      <c r="R28" s="59"/>
      <c r="S28" s="60"/>
      <c r="T28" s="186"/>
      <c r="U28" s="88">
        <f t="shared" si="5"/>
        <v>26</v>
      </c>
      <c r="V28" s="59">
        <v>35.25</v>
      </c>
      <c r="W28" s="60">
        <v>234</v>
      </c>
      <c r="X28" s="186"/>
      <c r="Y28" s="88">
        <f t="shared" si="6"/>
        <v>26</v>
      </c>
      <c r="Z28" s="59">
        <v>19.5</v>
      </c>
      <c r="AA28" s="60">
        <v>110</v>
      </c>
      <c r="AB28" s="186"/>
      <c r="AC28" s="88">
        <f t="shared" si="7"/>
        <v>26</v>
      </c>
      <c r="AD28" s="59">
        <v>13.6</v>
      </c>
      <c r="AE28" s="60">
        <v>10</v>
      </c>
      <c r="AF28" s="186"/>
      <c r="AG28" s="88">
        <f t="shared" si="8"/>
        <v>26</v>
      </c>
      <c r="AH28" s="59">
        <v>17.66</v>
      </c>
      <c r="AI28" s="60">
        <v>419</v>
      </c>
      <c r="AJ28" s="186"/>
      <c r="AK28" s="88">
        <f t="shared" si="9"/>
        <v>26</v>
      </c>
      <c r="AL28" s="59">
        <v>10.3</v>
      </c>
      <c r="AM28" s="60">
        <v>60</v>
      </c>
      <c r="AN28" s="186"/>
      <c r="AO28" s="88">
        <f t="shared" si="10"/>
        <v>26</v>
      </c>
      <c r="AP28" s="59"/>
      <c r="AQ28" s="60"/>
      <c r="AR28" s="186"/>
      <c r="AS28" s="88">
        <f t="shared" si="11"/>
        <v>26</v>
      </c>
      <c r="AT28" s="59">
        <v>29.6</v>
      </c>
      <c r="AU28" s="60">
        <v>320</v>
      </c>
      <c r="AV28" s="186"/>
      <c r="AW28" s="73"/>
    </row>
    <row r="29" spans="1:49" s="54" customFormat="1" ht="11.25" x14ac:dyDescent="0.2">
      <c r="A29" s="86">
        <f t="shared" si="0"/>
        <v>27</v>
      </c>
      <c r="B29" s="59">
        <v>10</v>
      </c>
      <c r="C29" s="60">
        <v>2</v>
      </c>
      <c r="D29" s="186"/>
      <c r="E29" s="88">
        <f t="shared" si="1"/>
        <v>27</v>
      </c>
      <c r="F29" s="59"/>
      <c r="G29" s="60"/>
      <c r="H29" s="186"/>
      <c r="I29" s="88">
        <f t="shared" si="2"/>
        <v>27</v>
      </c>
      <c r="J29" s="59">
        <v>39</v>
      </c>
      <c r="K29" s="60">
        <v>190</v>
      </c>
      <c r="L29" s="186"/>
      <c r="M29" s="88">
        <f t="shared" si="3"/>
        <v>27</v>
      </c>
      <c r="N29" s="59"/>
      <c r="O29" s="60"/>
      <c r="P29" s="186"/>
      <c r="Q29" s="88">
        <f t="shared" si="4"/>
        <v>27</v>
      </c>
      <c r="R29" s="59">
        <v>10</v>
      </c>
      <c r="S29" s="60">
        <v>20</v>
      </c>
      <c r="T29" s="186"/>
      <c r="U29" s="88">
        <f t="shared" si="5"/>
        <v>27</v>
      </c>
      <c r="V29" s="59">
        <v>57.6</v>
      </c>
      <c r="W29" s="60">
        <v>1033</v>
      </c>
      <c r="X29" s="186"/>
      <c r="Y29" s="88">
        <f t="shared" si="6"/>
        <v>27</v>
      </c>
      <c r="Z29" s="59">
        <v>10.1</v>
      </c>
      <c r="AA29" s="60">
        <v>306</v>
      </c>
      <c r="AB29" s="186"/>
      <c r="AC29" s="88">
        <f t="shared" si="7"/>
        <v>27</v>
      </c>
      <c r="AD29" s="59">
        <v>15.2</v>
      </c>
      <c r="AE29" s="60">
        <v>50</v>
      </c>
      <c r="AF29" s="186"/>
      <c r="AG29" s="88">
        <f t="shared" si="8"/>
        <v>27</v>
      </c>
      <c r="AH29" s="59">
        <v>19.420000000000002</v>
      </c>
      <c r="AI29" s="60">
        <v>191</v>
      </c>
      <c r="AJ29" s="186"/>
      <c r="AK29" s="88">
        <f t="shared" si="9"/>
        <v>27</v>
      </c>
      <c r="AL29" s="59">
        <v>10.3</v>
      </c>
      <c r="AM29" s="60">
        <v>60</v>
      </c>
      <c r="AN29" s="186"/>
      <c r="AO29" s="88">
        <f t="shared" si="10"/>
        <v>27</v>
      </c>
      <c r="AP29" s="59"/>
      <c r="AQ29" s="60"/>
      <c r="AR29" s="186"/>
      <c r="AS29" s="88">
        <f t="shared" si="11"/>
        <v>27</v>
      </c>
      <c r="AT29" s="59">
        <v>11.35</v>
      </c>
      <c r="AU29" s="60">
        <v>120</v>
      </c>
      <c r="AV29" s="186"/>
      <c r="AW29" s="73"/>
    </row>
    <row r="30" spans="1:49" s="54" customFormat="1" ht="11.25" x14ac:dyDescent="0.2">
      <c r="A30" s="86">
        <f t="shared" si="0"/>
        <v>28</v>
      </c>
      <c r="B30" s="59">
        <v>11.2</v>
      </c>
      <c r="C30" s="60">
        <v>11</v>
      </c>
      <c r="D30" s="186"/>
      <c r="E30" s="88">
        <f t="shared" si="1"/>
        <v>28</v>
      </c>
      <c r="F30" s="59">
        <v>16</v>
      </c>
      <c r="G30" s="60">
        <v>65</v>
      </c>
      <c r="H30" s="186"/>
      <c r="I30" s="88">
        <f t="shared" si="2"/>
        <v>28</v>
      </c>
      <c r="J30" s="59"/>
      <c r="K30" s="60"/>
      <c r="L30" s="186"/>
      <c r="M30" s="88">
        <f t="shared" si="3"/>
        <v>28</v>
      </c>
      <c r="N30" s="59">
        <v>15.87</v>
      </c>
      <c r="O30" s="60">
        <v>85</v>
      </c>
      <c r="P30" s="186"/>
      <c r="Q30" s="88">
        <f t="shared" si="4"/>
        <v>28</v>
      </c>
      <c r="R30" s="59">
        <v>25.96</v>
      </c>
      <c r="S30" s="60">
        <v>100</v>
      </c>
      <c r="T30" s="186"/>
      <c r="U30" s="88">
        <f t="shared" si="5"/>
        <v>28</v>
      </c>
      <c r="V30" s="59">
        <v>42.6</v>
      </c>
      <c r="W30" s="60">
        <v>437</v>
      </c>
      <c r="X30" s="186"/>
      <c r="Y30" s="88">
        <f t="shared" si="6"/>
        <v>28</v>
      </c>
      <c r="Z30" s="59">
        <v>12.71</v>
      </c>
      <c r="AA30" s="60">
        <v>268</v>
      </c>
      <c r="AB30" s="186"/>
      <c r="AC30" s="88">
        <f t="shared" si="7"/>
        <v>28</v>
      </c>
      <c r="AD30" s="59">
        <v>52.39</v>
      </c>
      <c r="AE30" s="60">
        <v>735</v>
      </c>
      <c r="AF30" s="186"/>
      <c r="AG30" s="88">
        <f t="shared" si="8"/>
        <v>28</v>
      </c>
      <c r="AH30" s="59">
        <v>14.27</v>
      </c>
      <c r="AI30" s="60">
        <v>45</v>
      </c>
      <c r="AJ30" s="186"/>
      <c r="AK30" s="88">
        <f t="shared" si="9"/>
        <v>28</v>
      </c>
      <c r="AL30" s="59">
        <v>14.4</v>
      </c>
      <c r="AM30" s="60">
        <v>200</v>
      </c>
      <c r="AN30" s="186"/>
      <c r="AO30" s="88">
        <f t="shared" si="10"/>
        <v>28</v>
      </c>
      <c r="AP30" s="59"/>
      <c r="AQ30" s="60"/>
      <c r="AR30" s="186"/>
      <c r="AS30" s="88">
        <f t="shared" si="11"/>
        <v>28</v>
      </c>
      <c r="AT30" s="59">
        <v>11.5</v>
      </c>
      <c r="AU30" s="60">
        <v>130</v>
      </c>
      <c r="AV30" s="186"/>
      <c r="AW30" s="73"/>
    </row>
    <row r="31" spans="1:49" s="54" customFormat="1" ht="11.25" x14ac:dyDescent="0.2">
      <c r="A31" s="86">
        <f t="shared" si="0"/>
        <v>29</v>
      </c>
      <c r="B31" s="59">
        <v>30.03</v>
      </c>
      <c r="C31" s="60">
        <v>10</v>
      </c>
      <c r="D31" s="186"/>
      <c r="E31" s="88"/>
      <c r="F31" s="59"/>
      <c r="G31" s="60"/>
      <c r="H31" s="186"/>
      <c r="I31" s="88">
        <f t="shared" si="2"/>
        <v>29</v>
      </c>
      <c r="J31" s="59"/>
      <c r="K31" s="60"/>
      <c r="L31" s="186">
        <v>4.3055555555555562E-2</v>
      </c>
      <c r="M31" s="88">
        <f t="shared" si="3"/>
        <v>29</v>
      </c>
      <c r="N31" s="59"/>
      <c r="O31" s="60"/>
      <c r="P31" s="186">
        <v>2.0833333333333332E-2</v>
      </c>
      <c r="Q31" s="88">
        <f t="shared" si="4"/>
        <v>29</v>
      </c>
      <c r="R31" s="59">
        <v>96.42</v>
      </c>
      <c r="S31" s="60">
        <v>1385</v>
      </c>
      <c r="T31" s="186"/>
      <c r="U31" s="88">
        <f t="shared" si="5"/>
        <v>29</v>
      </c>
      <c r="V31" s="59">
        <v>42.48</v>
      </c>
      <c r="W31" s="60">
        <v>460</v>
      </c>
      <c r="X31" s="186"/>
      <c r="Y31" s="88">
        <f t="shared" si="6"/>
        <v>29</v>
      </c>
      <c r="Z31" s="59">
        <v>30.3</v>
      </c>
      <c r="AA31" s="60">
        <v>360</v>
      </c>
      <c r="AB31" s="186"/>
      <c r="AC31" s="88">
        <f t="shared" si="7"/>
        <v>29</v>
      </c>
      <c r="AD31" s="59">
        <v>12.7</v>
      </c>
      <c r="AE31" s="60">
        <v>295</v>
      </c>
      <c r="AF31" s="186"/>
      <c r="AG31" s="88">
        <f t="shared" si="8"/>
        <v>29</v>
      </c>
      <c r="AH31" s="59">
        <v>28.33</v>
      </c>
      <c r="AI31" s="60">
        <v>210</v>
      </c>
      <c r="AJ31" s="186"/>
      <c r="AK31" s="88">
        <f t="shared" si="9"/>
        <v>29</v>
      </c>
      <c r="AL31" s="59">
        <v>10.6</v>
      </c>
      <c r="AM31" s="60">
        <v>310</v>
      </c>
      <c r="AN31" s="186"/>
      <c r="AO31" s="88">
        <f t="shared" si="10"/>
        <v>29</v>
      </c>
      <c r="AP31" s="59">
        <v>12</v>
      </c>
      <c r="AQ31" s="60">
        <v>8</v>
      </c>
      <c r="AR31" s="186"/>
      <c r="AS31" s="88">
        <f t="shared" si="11"/>
        <v>29</v>
      </c>
      <c r="AT31" s="59">
        <v>19.399999999999999</v>
      </c>
      <c r="AU31" s="60">
        <v>200</v>
      </c>
      <c r="AV31" s="186"/>
      <c r="AW31" s="73"/>
    </row>
    <row r="32" spans="1:49" s="54" customFormat="1" ht="11.25" x14ac:dyDescent="0.2">
      <c r="A32" s="86">
        <f t="shared" si="0"/>
        <v>30</v>
      </c>
      <c r="B32" s="59">
        <v>17.29</v>
      </c>
      <c r="C32" s="60">
        <v>60</v>
      </c>
      <c r="D32" s="186"/>
      <c r="E32" s="88"/>
      <c r="F32" s="59"/>
      <c r="G32" s="60"/>
      <c r="H32" s="186"/>
      <c r="I32" s="88">
        <f t="shared" si="2"/>
        <v>30</v>
      </c>
      <c r="J32" s="59"/>
      <c r="K32" s="60"/>
      <c r="L32" s="186"/>
      <c r="M32" s="88">
        <f t="shared" si="3"/>
        <v>30</v>
      </c>
      <c r="N32" s="59">
        <v>41.97</v>
      </c>
      <c r="O32" s="60">
        <v>774</v>
      </c>
      <c r="P32" s="186"/>
      <c r="Q32" s="88">
        <f t="shared" si="4"/>
        <v>30</v>
      </c>
      <c r="R32" s="59"/>
      <c r="S32" s="60"/>
      <c r="T32" s="186"/>
      <c r="U32" s="88">
        <f t="shared" si="5"/>
        <v>30</v>
      </c>
      <c r="V32" s="59">
        <v>39.08</v>
      </c>
      <c r="W32" s="60">
        <v>500</v>
      </c>
      <c r="X32" s="186"/>
      <c r="Y32" s="88">
        <f t="shared" si="6"/>
        <v>30</v>
      </c>
      <c r="Z32" s="59">
        <v>41.5</v>
      </c>
      <c r="AA32" s="60">
        <v>201</v>
      </c>
      <c r="AB32" s="186"/>
      <c r="AC32" s="88">
        <f t="shared" si="7"/>
        <v>30</v>
      </c>
      <c r="AD32" s="59">
        <v>12.7</v>
      </c>
      <c r="AE32" s="60">
        <v>295</v>
      </c>
      <c r="AF32" s="186"/>
      <c r="AG32" s="88">
        <f t="shared" si="8"/>
        <v>30</v>
      </c>
      <c r="AH32" s="59">
        <v>25.49</v>
      </c>
      <c r="AI32" s="60">
        <v>440</v>
      </c>
      <c r="AJ32" s="186"/>
      <c r="AK32" s="88">
        <f t="shared" si="9"/>
        <v>30</v>
      </c>
      <c r="AL32" s="59">
        <v>12.6</v>
      </c>
      <c r="AM32" s="60">
        <v>315</v>
      </c>
      <c r="AN32" s="186">
        <v>8.3333333333333329E-2</v>
      </c>
      <c r="AO32" s="88">
        <f t="shared" si="10"/>
        <v>30</v>
      </c>
      <c r="AP32" s="59">
        <v>13.3</v>
      </c>
      <c r="AQ32" s="60">
        <v>62</v>
      </c>
      <c r="AR32" s="186"/>
      <c r="AS32" s="88">
        <f t="shared" si="11"/>
        <v>30</v>
      </c>
      <c r="AT32" s="59"/>
      <c r="AU32" s="60"/>
      <c r="AV32" s="186"/>
      <c r="AW32" s="73"/>
    </row>
    <row r="33" spans="1:49" s="54" customFormat="1" ht="11.25" x14ac:dyDescent="0.2">
      <c r="A33" s="87">
        <f t="shared" si="0"/>
        <v>31</v>
      </c>
      <c r="B33" s="68">
        <v>10.199999999999999</v>
      </c>
      <c r="C33" s="69">
        <v>16</v>
      </c>
      <c r="D33" s="187"/>
      <c r="E33" s="89"/>
      <c r="F33" s="68"/>
      <c r="G33" s="69"/>
      <c r="H33" s="187"/>
      <c r="I33" s="89">
        <f t="shared" si="2"/>
        <v>31</v>
      </c>
      <c r="J33" s="68"/>
      <c r="K33" s="69"/>
      <c r="L33" s="187">
        <v>2.7777777777777776E-2</v>
      </c>
      <c r="M33" s="89"/>
      <c r="N33" s="68"/>
      <c r="O33" s="69"/>
      <c r="P33" s="187"/>
      <c r="Q33" s="89">
        <f t="shared" si="4"/>
        <v>31</v>
      </c>
      <c r="R33" s="68"/>
      <c r="S33" s="69"/>
      <c r="T33" s="187"/>
      <c r="U33" s="89"/>
      <c r="V33" s="68"/>
      <c r="W33" s="69"/>
      <c r="X33" s="187"/>
      <c r="Y33" s="89">
        <f t="shared" si="6"/>
        <v>31</v>
      </c>
      <c r="Z33" s="68">
        <v>27.7</v>
      </c>
      <c r="AA33" s="69">
        <v>138</v>
      </c>
      <c r="AB33" s="187"/>
      <c r="AC33" s="89">
        <f t="shared" si="7"/>
        <v>31</v>
      </c>
      <c r="AD33" s="68">
        <v>17.559999999999999</v>
      </c>
      <c r="AE33" s="69">
        <v>394</v>
      </c>
      <c r="AF33" s="187"/>
      <c r="AG33" s="89"/>
      <c r="AH33" s="68"/>
      <c r="AI33" s="69"/>
      <c r="AJ33" s="187"/>
      <c r="AK33" s="89">
        <f t="shared" si="9"/>
        <v>31</v>
      </c>
      <c r="AL33" s="68">
        <v>14.6</v>
      </c>
      <c r="AM33" s="69">
        <v>320</v>
      </c>
      <c r="AN33" s="187"/>
      <c r="AO33" s="89"/>
      <c r="AP33" s="68"/>
      <c r="AQ33" s="69"/>
      <c r="AR33" s="187"/>
      <c r="AS33" s="89">
        <f t="shared" si="11"/>
        <v>31</v>
      </c>
      <c r="AT33" s="68"/>
      <c r="AU33" s="69"/>
      <c r="AV33" s="187"/>
      <c r="AW33" s="73"/>
    </row>
    <row r="34" spans="1:49" s="54" customFormat="1" ht="11.25" x14ac:dyDescent="0.2">
      <c r="A34" s="50" t="s">
        <v>95</v>
      </c>
      <c r="B34" s="52">
        <f>SUM(B3:B33)</f>
        <v>241.00999999999996</v>
      </c>
      <c r="C34" s="53">
        <f>SUM(C3:C33)</f>
        <v>1799</v>
      </c>
      <c r="D34" s="92">
        <f>(SUM(D3:D33)/D39)*C39</f>
        <v>118</v>
      </c>
      <c r="E34" s="71"/>
      <c r="F34" s="52">
        <f>SUM(F3:F33)</f>
        <v>340.89000000000004</v>
      </c>
      <c r="G34" s="53">
        <f>SUM(G3:G33)</f>
        <v>3236</v>
      </c>
      <c r="H34" s="92">
        <f>(SUM(H3:H33)/D39)*C39</f>
        <v>40</v>
      </c>
      <c r="I34" s="71"/>
      <c r="J34" s="52">
        <f>SUM(J3:J33)</f>
        <v>398.23</v>
      </c>
      <c r="K34" s="53">
        <f>SUM(K3:K33)</f>
        <v>2973</v>
      </c>
      <c r="L34" s="92">
        <f>(SUM(L3:L33)/D39)*C39</f>
        <v>40.799999999999997</v>
      </c>
      <c r="M34" s="90"/>
      <c r="N34" s="52">
        <f>SUM(N3:N33)</f>
        <v>824.66000000000008</v>
      </c>
      <c r="O34" s="53">
        <f>SUM(O3:O33)</f>
        <v>7643</v>
      </c>
      <c r="P34" s="92">
        <f>(SUM(P3:P33)/D39)*C39</f>
        <v>12</v>
      </c>
      <c r="Q34" s="71"/>
      <c r="R34" s="52">
        <f>SUM(R3:R33)</f>
        <v>654.67999999999995</v>
      </c>
      <c r="S34" s="53">
        <f>SUM(S3:S33)</f>
        <v>7494</v>
      </c>
      <c r="T34" s="92">
        <f>(SUM(T3:T33)/D39)*C39</f>
        <v>0</v>
      </c>
      <c r="U34" s="71"/>
      <c r="V34" s="52">
        <f>SUM(V3:V33)</f>
        <v>902.05000000000018</v>
      </c>
      <c r="W34" s="53">
        <f>SUM(W3:W33)</f>
        <v>12610</v>
      </c>
      <c r="X34" s="92">
        <f>(SUM(X3:X33)/D39)*C39</f>
        <v>12</v>
      </c>
      <c r="Y34" s="71"/>
      <c r="Z34" s="52">
        <f>SUM(Z3:Z33)</f>
        <v>606.12000000000012</v>
      </c>
      <c r="AA34" s="53">
        <f>SUM(AA3:AA33)</f>
        <v>6639</v>
      </c>
      <c r="AB34" s="92">
        <f>(SUM(AB3:AB33)/D39)*C39</f>
        <v>12</v>
      </c>
      <c r="AC34" s="71"/>
      <c r="AD34" s="52">
        <f>SUM(AD3:AD33)</f>
        <v>772.28</v>
      </c>
      <c r="AE34" s="53">
        <f>SUM(AE3:AE33)</f>
        <v>8881</v>
      </c>
      <c r="AF34" s="92">
        <f>(SUM(AF3:AF33)/D39)*C39</f>
        <v>0</v>
      </c>
      <c r="AG34" s="71"/>
      <c r="AH34" s="52">
        <f>SUM(AH3:AH33)</f>
        <v>520.93999999999994</v>
      </c>
      <c r="AI34" s="53">
        <f>SUM(AI3:AI33)</f>
        <v>8244</v>
      </c>
      <c r="AJ34" s="92">
        <f>(SUM(AJ3:AJ33)/D39)*C39</f>
        <v>0</v>
      </c>
      <c r="AK34" s="71"/>
      <c r="AL34" s="52">
        <f>SUM(AL3:AL33)</f>
        <v>692.78999999999985</v>
      </c>
      <c r="AM34" s="53">
        <f>SUM(AM3:AM33)</f>
        <v>7737</v>
      </c>
      <c r="AN34" s="92">
        <f>(SUM(AN3:AN33)/D39)*C39</f>
        <v>60</v>
      </c>
      <c r="AO34" s="71"/>
      <c r="AP34" s="52">
        <f>SUM(AP3:AP33)</f>
        <v>382.48000000000008</v>
      </c>
      <c r="AQ34" s="53">
        <f>SUM(AQ3:AQ33)</f>
        <v>1911</v>
      </c>
      <c r="AR34" s="92">
        <f>(SUM(AR3:AR33)/D39)*C39</f>
        <v>0</v>
      </c>
      <c r="AS34" s="71"/>
      <c r="AT34" s="52">
        <f>SUM(AT3:AT33)</f>
        <v>330.85</v>
      </c>
      <c r="AU34" s="53">
        <f>SUM(AU3:AU33)</f>
        <v>2847</v>
      </c>
      <c r="AV34" s="92">
        <f>(SUM(AV3:AV33)/D39)*C39</f>
        <v>90</v>
      </c>
      <c r="AW34" s="73"/>
    </row>
    <row r="35" spans="1:49" s="57" customFormat="1" ht="11.25" x14ac:dyDescent="0.2">
      <c r="A35" s="51" t="s">
        <v>96</v>
      </c>
      <c r="B35" s="55">
        <f>B34</f>
        <v>241.00999999999996</v>
      </c>
      <c r="C35" s="56">
        <f>C34</f>
        <v>1799</v>
      </c>
      <c r="D35" s="93">
        <f>D34</f>
        <v>118</v>
      </c>
      <c r="E35" s="72"/>
      <c r="F35" s="55">
        <f>F34+B35</f>
        <v>581.9</v>
      </c>
      <c r="G35" s="56">
        <f>G34+C35</f>
        <v>5035</v>
      </c>
      <c r="H35" s="93">
        <f>H34+D35</f>
        <v>158</v>
      </c>
      <c r="I35" s="72"/>
      <c r="J35" s="55">
        <f>J34+F35</f>
        <v>980.13</v>
      </c>
      <c r="K35" s="56">
        <f>K34+G35</f>
        <v>8008</v>
      </c>
      <c r="L35" s="93">
        <f>L34+H35</f>
        <v>198.8</v>
      </c>
      <c r="M35" s="72"/>
      <c r="N35" s="55">
        <f>N34+J35</f>
        <v>1804.79</v>
      </c>
      <c r="O35" s="56">
        <f>O34+K35</f>
        <v>15651</v>
      </c>
      <c r="P35" s="93">
        <f>P34+L35</f>
        <v>210.8</v>
      </c>
      <c r="Q35" s="72"/>
      <c r="R35" s="55">
        <f>R34+N35</f>
        <v>2459.4699999999998</v>
      </c>
      <c r="S35" s="56">
        <f>S34+O35</f>
        <v>23145</v>
      </c>
      <c r="T35" s="93">
        <f>T34+P35</f>
        <v>210.8</v>
      </c>
      <c r="U35" s="72"/>
      <c r="V35" s="55">
        <f>V34+R35</f>
        <v>3361.52</v>
      </c>
      <c r="W35" s="56">
        <f>W34+S35</f>
        <v>35755</v>
      </c>
      <c r="X35" s="93">
        <f>X34+T35</f>
        <v>222.8</v>
      </c>
      <c r="Y35" s="72"/>
      <c r="Z35" s="55">
        <f>Z34+V35</f>
        <v>3967.6400000000003</v>
      </c>
      <c r="AA35" s="56">
        <f>AA34+W35</f>
        <v>42394</v>
      </c>
      <c r="AB35" s="93">
        <f>AB34+X35</f>
        <v>234.8</v>
      </c>
      <c r="AC35" s="72"/>
      <c r="AD35" s="55">
        <f>AD34+Z35</f>
        <v>4739.92</v>
      </c>
      <c r="AE35" s="56">
        <f>AE34+AA35</f>
        <v>51275</v>
      </c>
      <c r="AF35" s="93">
        <f>AF34+AB35</f>
        <v>234.8</v>
      </c>
      <c r="AG35" s="72"/>
      <c r="AH35" s="55">
        <f>AH34+AD35</f>
        <v>5260.86</v>
      </c>
      <c r="AI35" s="56">
        <f>AI34+AE35</f>
        <v>59519</v>
      </c>
      <c r="AJ35" s="93">
        <f>AJ34+AF35</f>
        <v>234.8</v>
      </c>
      <c r="AK35" s="72"/>
      <c r="AL35" s="55">
        <f>AL34+AH35</f>
        <v>5953.65</v>
      </c>
      <c r="AM35" s="56">
        <f>AM34+AI35</f>
        <v>67256</v>
      </c>
      <c r="AN35" s="93">
        <f>AN34+AJ35</f>
        <v>294.8</v>
      </c>
      <c r="AO35" s="72"/>
      <c r="AP35" s="55">
        <f>AP34+AL35</f>
        <v>6336.13</v>
      </c>
      <c r="AQ35" s="56">
        <f>AQ34+AM35</f>
        <v>69167</v>
      </c>
      <c r="AR35" s="93">
        <f>AR34+AN35</f>
        <v>294.8</v>
      </c>
      <c r="AS35" s="72"/>
      <c r="AT35" s="55">
        <f>AT34+AP35</f>
        <v>6666.9800000000005</v>
      </c>
      <c r="AU35" s="56">
        <f>AU34+AQ35</f>
        <v>72014</v>
      </c>
      <c r="AV35" s="93">
        <f>AV34+AR35</f>
        <v>384.8</v>
      </c>
      <c r="AW35" s="106"/>
    </row>
    <row r="36" spans="1:49" s="54" customFormat="1" ht="11.25" x14ac:dyDescent="0.2">
      <c r="A36" s="54" t="s">
        <v>152</v>
      </c>
      <c r="B36" s="59">
        <f>MAX(B3:B33)</f>
        <v>34.4</v>
      </c>
      <c r="C36" s="60">
        <f>MAX(C3:C33)</f>
        <v>600</v>
      </c>
      <c r="D36" s="188">
        <f>MAX(D3:D33)</f>
        <v>5.2083333333333336E-2</v>
      </c>
      <c r="E36" s="73"/>
      <c r="F36" s="59">
        <f>MAX(F3:F33)</f>
        <v>65.12</v>
      </c>
      <c r="G36" s="60">
        <f>MAX(G3:G33)</f>
        <v>591</v>
      </c>
      <c r="H36" s="188">
        <f>MAX(H3:H33)</f>
        <v>4.1666666666666664E-2</v>
      </c>
      <c r="I36" s="73"/>
      <c r="J36" s="59">
        <f>MAX(J3:J33)</f>
        <v>62.42</v>
      </c>
      <c r="K36" s="60">
        <f>MAX(K3:K33)</f>
        <v>816</v>
      </c>
      <c r="L36" s="188">
        <f>MAX(L3:L33)</f>
        <v>4.3055555555555562E-2</v>
      </c>
      <c r="M36" s="73"/>
      <c r="N36" s="59">
        <f>MAX(N3:N33)</f>
        <v>90.44</v>
      </c>
      <c r="O36" s="60">
        <f>MAX(O3:O33)</f>
        <v>989</v>
      </c>
      <c r="P36" s="188">
        <f>MAX(P3:P33)</f>
        <v>2.0833333333333332E-2</v>
      </c>
      <c r="Q36" s="73"/>
      <c r="R36" s="59">
        <f>MAX(R3:R33)</f>
        <v>96.42</v>
      </c>
      <c r="S36" s="60">
        <f>MAX(S3:S33)</f>
        <v>1385</v>
      </c>
      <c r="T36" s="188">
        <f>MAX(T3:T33)</f>
        <v>0</v>
      </c>
      <c r="U36" s="73"/>
      <c r="V36" s="59">
        <f>MAX(V3:V33)</f>
        <v>124</v>
      </c>
      <c r="W36" s="377">
        <f>MAX(W3:W33)</f>
        <v>1910</v>
      </c>
      <c r="X36" s="188">
        <f>MAX(X3:X33)</f>
        <v>2.0833333333333332E-2</v>
      </c>
      <c r="Y36" s="73"/>
      <c r="Z36" s="59">
        <f>MAX(Z3:Z33)</f>
        <v>101.35</v>
      </c>
      <c r="AA36" s="60">
        <f>MAX(AA3:AA33)</f>
        <v>1300</v>
      </c>
      <c r="AB36" s="188">
        <f>MAX(AB3:AB33)</f>
        <v>2.0833333333333332E-2</v>
      </c>
      <c r="AC36" s="73"/>
      <c r="AD36" s="59">
        <f>MAX(AD3:AD33)</f>
        <v>94.3</v>
      </c>
      <c r="AE36" s="60">
        <f>MAX(AE3:AE33)</f>
        <v>1310</v>
      </c>
      <c r="AF36" s="188">
        <f>MAX(AF3:AF33)</f>
        <v>0</v>
      </c>
      <c r="AG36" s="73"/>
      <c r="AH36" s="59">
        <f>MAX(AH3:AH33)</f>
        <v>85</v>
      </c>
      <c r="AI36" s="377">
        <f>MAX(AI3:AI33)</f>
        <v>2200</v>
      </c>
      <c r="AJ36" s="188">
        <f>MAX(AJ3:AJ33)</f>
        <v>0</v>
      </c>
      <c r="AK36" s="73"/>
      <c r="AL36" s="59">
        <f>MAX(AL3:AL33)</f>
        <v>90.07</v>
      </c>
      <c r="AM36" s="60">
        <f>MAX(AM3:AM33)</f>
        <v>1040</v>
      </c>
      <c r="AN36" s="188">
        <f>MAX(AN3:AN33)</f>
        <v>8.3333333333333329E-2</v>
      </c>
      <c r="AO36" s="73"/>
      <c r="AP36" s="59">
        <f>MAX(AP3:AP33)</f>
        <v>37.200000000000003</v>
      </c>
      <c r="AQ36" s="60">
        <f>MAX(AQ3:AQ33)</f>
        <v>306</v>
      </c>
      <c r="AR36" s="188">
        <f>MAX(AR3:AR33)</f>
        <v>0</v>
      </c>
      <c r="AS36" s="73"/>
      <c r="AT36" s="59">
        <f>MAX(AT3:AT33)</f>
        <v>42.05</v>
      </c>
      <c r="AU36" s="60">
        <f>MAX(AU3:AU33)</f>
        <v>457</v>
      </c>
      <c r="AV36" s="188">
        <f>MAX(AV3:AV33)</f>
        <v>9.375E-2</v>
      </c>
      <c r="AW36" s="73"/>
    </row>
    <row r="37" spans="1:49" s="54" customFormat="1" ht="11.25" x14ac:dyDescent="0.2">
      <c r="A37" s="54" t="s">
        <v>348</v>
      </c>
      <c r="B37" s="59">
        <f>IFERROR(AVERAGE(B3:B33),0)</f>
        <v>17.214999999999996</v>
      </c>
      <c r="C37" s="60">
        <f>IFERROR(AVERAGE(C3:C33),0)</f>
        <v>128.5</v>
      </c>
      <c r="D37" s="188">
        <f>IFERROR(AVERAGE(D3:D33),0)</f>
        <v>4.0972222222222222E-2</v>
      </c>
      <c r="E37" s="73"/>
      <c r="F37" s="59">
        <f>IFERROR(AVERAGE(F3:F33),0)</f>
        <v>20.052352941176473</v>
      </c>
      <c r="G37" s="60">
        <f>IFERROR(AVERAGE(G3:G33),0)</f>
        <v>190.35294117647058</v>
      </c>
      <c r="H37" s="188">
        <f>IFERROR(AVERAGE(H3:H33),0)</f>
        <v>3.4722222222222224E-2</v>
      </c>
      <c r="I37" s="73"/>
      <c r="J37" s="59">
        <f>IFERROR(AVERAGE(J3:J33),0)</f>
        <v>22.123888888888889</v>
      </c>
      <c r="K37" s="60">
        <f>IFERROR(AVERAGE(K3:K33),0)</f>
        <v>165.16666666666666</v>
      </c>
      <c r="L37" s="188">
        <f>IFERROR(AVERAGE(L3:L33),0)</f>
        <v>3.5416666666666666E-2</v>
      </c>
      <c r="M37" s="73"/>
      <c r="N37" s="59">
        <f>IFERROR(AVERAGE(N3:N33),0)</f>
        <v>31.71769230769231</v>
      </c>
      <c r="O37" s="60">
        <f>IFERROR(AVERAGE(O3:O33),0)</f>
        <v>293.96153846153845</v>
      </c>
      <c r="P37" s="188">
        <f>IFERROR(AVERAGE(P3:P33),0)</f>
        <v>2.0833333333333332E-2</v>
      </c>
      <c r="Q37" s="73"/>
      <c r="R37" s="59">
        <f>IFERROR(AVERAGE(R3:R33),0)</f>
        <v>28.464347826086954</v>
      </c>
      <c r="S37" s="60">
        <f>IFERROR(AVERAGE(S3:S33),0)</f>
        <v>325.82608695652175</v>
      </c>
      <c r="T37" s="188">
        <f>IFERROR(AVERAGE(T3:T33),0)</f>
        <v>0</v>
      </c>
      <c r="U37" s="73"/>
      <c r="V37" s="59">
        <f>IFERROR(AVERAGE(V3:V33),0)</f>
        <v>37.585416666666674</v>
      </c>
      <c r="W37" s="60">
        <f>IFERROR(AVERAGE(W3:W33),0)</f>
        <v>525.41666666666663</v>
      </c>
      <c r="X37" s="188">
        <f>IFERROR(AVERAGE(X3:X33),0)</f>
        <v>2.0833333333333332E-2</v>
      </c>
      <c r="Y37" s="73"/>
      <c r="Z37" s="59">
        <f>IFERROR(AVERAGE(Z3:Z33),0)</f>
        <v>25.255000000000006</v>
      </c>
      <c r="AA37" s="60">
        <f>IFERROR(AVERAGE(AA3:AA33),0)</f>
        <v>276.625</v>
      </c>
      <c r="AB37" s="188">
        <f>IFERROR(AVERAGE(AB3:AB33),0)</f>
        <v>2.0833333333333332E-2</v>
      </c>
      <c r="AC37" s="73"/>
      <c r="AD37" s="59">
        <f>IFERROR(AVERAGE(AD3:AD33),0)</f>
        <v>27.581428571428571</v>
      </c>
      <c r="AE37" s="60">
        <f>IFERROR(AVERAGE(AE3:AE33),0)</f>
        <v>317.17857142857144</v>
      </c>
      <c r="AF37" s="188">
        <f>IFERROR(AVERAGE(AF3:AF33),0)</f>
        <v>0</v>
      </c>
      <c r="AG37" s="73"/>
      <c r="AH37" s="59">
        <f>IFERROR(AVERAGE(AH3:AH33),0)</f>
        <v>24.806666666666665</v>
      </c>
      <c r="AI37" s="60">
        <f>IFERROR(AVERAGE(AI3:AI33),0)</f>
        <v>392.57142857142856</v>
      </c>
      <c r="AJ37" s="188">
        <f>IFERROR(AVERAGE(AJ3:AJ33),0)</f>
        <v>0</v>
      </c>
      <c r="AK37" s="73"/>
      <c r="AL37" s="59">
        <f>IFERROR(AVERAGE(AL3:AL33),0)</f>
        <v>26.645769230769226</v>
      </c>
      <c r="AM37" s="60">
        <f>IFERROR(AVERAGE(AM3:AM33),0)</f>
        <v>297.57692307692309</v>
      </c>
      <c r="AN37" s="188">
        <f>IFERROR(AVERAGE(AN3:AN33),0)</f>
        <v>5.2083333333333329E-2</v>
      </c>
      <c r="AO37" s="73"/>
      <c r="AP37" s="59">
        <f>IFERROR(AVERAGE(AP3:AP33),0)</f>
        <v>15.936666666666669</v>
      </c>
      <c r="AQ37" s="60">
        <f>IFERROR(AVERAGE(AQ3:AQ33),0)</f>
        <v>79.625</v>
      </c>
      <c r="AR37" s="188">
        <f>IFERROR(AVERAGE(AR3:AR33),0)</f>
        <v>0</v>
      </c>
      <c r="AS37" s="73"/>
      <c r="AT37" s="59">
        <f>IFERROR(AVERAGE(AT3:AT33),0)</f>
        <v>17.413157894736845</v>
      </c>
      <c r="AU37" s="60">
        <f>IFERROR(AVERAGE(AU3:AU33),0)</f>
        <v>149.84210526315789</v>
      </c>
      <c r="AV37" s="188">
        <f>IFERROR(AVERAGE(AV3:AV33),0)</f>
        <v>5.2083333333333336E-2</v>
      </c>
      <c r="AW37" s="73"/>
    </row>
    <row r="38" spans="1:49" s="54" customFormat="1" ht="11.25" x14ac:dyDescent="0.2">
      <c r="A38" s="54" t="s">
        <v>241</v>
      </c>
      <c r="B38" s="59">
        <f>B34-'10'!B34</f>
        <v>80.70999999999998</v>
      </c>
      <c r="C38" s="91">
        <f>C34-'10'!C34</f>
        <v>363</v>
      </c>
      <c r="D38" s="119">
        <f>IF(B34+D34=0,0,D34/(B34+D34))</f>
        <v>0.32868165232166235</v>
      </c>
      <c r="E38" s="73"/>
      <c r="F38" s="59">
        <f>F34-'10'!F34</f>
        <v>115.12000000000003</v>
      </c>
      <c r="G38" s="91">
        <f>G34-'10'!G34</f>
        <v>2021</v>
      </c>
      <c r="H38" s="119">
        <f>IF(F34+H34=0,0,H34/(F34+H34))</f>
        <v>0.10501719656593766</v>
      </c>
      <c r="I38" s="73"/>
      <c r="J38" s="59">
        <f>J34-'10'!J34</f>
        <v>-18.879999999999995</v>
      </c>
      <c r="K38" s="91">
        <f>K34-'10'!K34</f>
        <v>62</v>
      </c>
      <c r="L38" s="119">
        <f>IF(J34+L34=0,0,L34/(J34+L34))</f>
        <v>9.2932145867025015E-2</v>
      </c>
      <c r="M38" s="73"/>
      <c r="N38" s="59">
        <f>N34-'10'!N34</f>
        <v>158.23000000000002</v>
      </c>
      <c r="O38" s="91">
        <f>O34-'10'!O34</f>
        <v>-203</v>
      </c>
      <c r="P38" s="119">
        <f>IF(N34+P34=0,0,P34/(N34+P34))</f>
        <v>1.4342743766882604E-2</v>
      </c>
      <c r="Q38" s="73"/>
      <c r="R38" s="59">
        <f>R34-'10'!R34</f>
        <v>245.24999999999994</v>
      </c>
      <c r="S38" s="91">
        <f>S34-'10'!S34</f>
        <v>4242</v>
      </c>
      <c r="T38" s="119">
        <f>IF(R34+T34=0,0,T34/(R34+T34))</f>
        <v>0</v>
      </c>
      <c r="U38" s="73"/>
      <c r="V38" s="59">
        <f>V34-'10'!V34</f>
        <v>251.70000000000016</v>
      </c>
      <c r="W38" s="91">
        <f>W34-'10'!W34</f>
        <v>5425</v>
      </c>
      <c r="X38" s="119">
        <f>IF(V34+X34=0,0,X34/(V34+X34))</f>
        <v>1.3128384661670585E-2</v>
      </c>
      <c r="Y38" s="73"/>
      <c r="Z38" s="59">
        <f>Z34-'10'!Z34</f>
        <v>186.65000000000009</v>
      </c>
      <c r="AA38" s="91">
        <f>AA34-'10'!AA34</f>
        <v>1405</v>
      </c>
      <c r="AB38" s="119">
        <f>IF(Z34+AB34=0,0,AB34/(Z34+AB34))</f>
        <v>1.9413706076489998E-2</v>
      </c>
      <c r="AC38" s="73"/>
      <c r="AD38" s="59">
        <f>AD34-'10'!AD34</f>
        <v>374.12999999999994</v>
      </c>
      <c r="AE38" s="91">
        <f>AE34-'10'!AE34</f>
        <v>7019</v>
      </c>
      <c r="AF38" s="119">
        <f>IF(AD34+AF34=0,0,AF34/(AD34+AF34))</f>
        <v>0</v>
      </c>
      <c r="AG38" s="73"/>
      <c r="AH38" s="59">
        <f>AH34-'10'!AH34</f>
        <v>-22.839999999999918</v>
      </c>
      <c r="AI38" s="91">
        <f>AI34-'10'!AI34</f>
        <v>3891</v>
      </c>
      <c r="AJ38" s="119">
        <f>IF(AH34+AJ34=0,0,AJ34/(AH34+AJ34))</f>
        <v>0</v>
      </c>
      <c r="AK38" s="73"/>
      <c r="AL38" s="59">
        <f>AL34-'10'!AL34</f>
        <v>370.52999999999986</v>
      </c>
      <c r="AM38" s="91">
        <f>AM34-'10'!AM34</f>
        <v>5867</v>
      </c>
      <c r="AN38" s="119">
        <f>IF(AL34+AN34=0,0,AN34/(AL34+AN34))</f>
        <v>7.9703502968955495E-2</v>
      </c>
      <c r="AO38" s="73"/>
      <c r="AP38" s="59">
        <f>AP34-'10'!AP34</f>
        <v>170.85000000000008</v>
      </c>
      <c r="AQ38" s="91">
        <f>AQ34-'10'!AQ34</f>
        <v>1002</v>
      </c>
      <c r="AR38" s="119">
        <f>IF(AP34+AR34=0,0,AR34/(AP34+AR34))</f>
        <v>0</v>
      </c>
      <c r="AS38" s="73"/>
      <c r="AT38" s="59">
        <f>AT34-'10'!AT34</f>
        <v>297.60000000000002</v>
      </c>
      <c r="AU38" s="91">
        <f>AU34-'10'!AU34</f>
        <v>2729</v>
      </c>
      <c r="AV38" s="119">
        <f>IF(AT34+AV34=0,0,AV34/(AT34+AV34))</f>
        <v>0.21385291671616966</v>
      </c>
      <c r="AW38" s="73"/>
    </row>
    <row r="39" spans="1:49" s="1" customFormat="1" x14ac:dyDescent="0.2">
      <c r="A39" s="51" t="s">
        <v>158</v>
      </c>
      <c r="B39" s="177" t="s">
        <v>242</v>
      </c>
      <c r="C39" s="178">
        <v>24</v>
      </c>
      <c r="D39" s="189">
        <v>4.1666666666666664E-2</v>
      </c>
      <c r="E39" s="205"/>
      <c r="H39" s="206"/>
      <c r="I39" s="205"/>
      <c r="J39" s="55">
        <f>SUM(B34,F34,J34)</f>
        <v>980.13</v>
      </c>
      <c r="K39" s="56">
        <f t="shared" ref="K39:L39" si="12">SUM(C34,G34,K34)</f>
        <v>8008</v>
      </c>
      <c r="L39" s="207">
        <f t="shared" si="12"/>
        <v>198.8</v>
      </c>
      <c r="M39" s="205"/>
      <c r="P39" s="206"/>
      <c r="Q39" s="205"/>
      <c r="T39" s="206"/>
      <c r="U39" s="205"/>
      <c r="V39" s="55">
        <f>SUM(N34,R34,V34)</f>
        <v>2381.3900000000003</v>
      </c>
      <c r="W39" s="56">
        <f>SUM(O34,S34,W34)</f>
        <v>27747</v>
      </c>
      <c r="X39" s="207">
        <f>SUM(P34,T34,X34)</f>
        <v>24</v>
      </c>
      <c r="Y39" s="205"/>
      <c r="AB39" s="206"/>
      <c r="AC39" s="205"/>
      <c r="AF39" s="206"/>
      <c r="AG39" s="205"/>
      <c r="AH39" s="55">
        <f>SUM(Z34,AD34,AH34)</f>
        <v>1899.3400000000001</v>
      </c>
      <c r="AI39" s="56">
        <f>SUM(AA34,AE34,AI34)</f>
        <v>23764</v>
      </c>
      <c r="AJ39" s="207">
        <f>SUM(AB34,AF34,AJ34)</f>
        <v>12</v>
      </c>
      <c r="AK39" s="205"/>
      <c r="AN39" s="206"/>
      <c r="AO39" s="205"/>
      <c r="AR39" s="206"/>
      <c r="AS39" s="205"/>
      <c r="AT39" s="55">
        <f>SUM(AL34,AP34,AT34)</f>
        <v>1406.12</v>
      </c>
      <c r="AU39" s="56">
        <f>SUM(AM34,AQ34,AU34)</f>
        <v>12495</v>
      </c>
      <c r="AV39" s="207">
        <f>SUM(AN34,AR34,AV34)</f>
        <v>150</v>
      </c>
      <c r="AW39" s="205"/>
    </row>
    <row r="40" spans="1:49" s="54" customFormat="1" ht="11.25" x14ac:dyDescent="0.2">
      <c r="A40" s="54" t="s">
        <v>347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19.797080610021784</v>
      </c>
      <c r="K40" s="60">
        <f>IFERROR(AVERAGE(C37,G37,K37),0)</f>
        <v>161.33986928104574</v>
      </c>
      <c r="L40" s="188">
        <f>IFERROR(AVERAGE(D37,H37,L37),0)</f>
        <v>3.7037037037037042E-2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32.589152266815312</v>
      </c>
      <c r="W40" s="60">
        <f>IFERROR(AVERAGE(O37,S37,W37),0)</f>
        <v>381.7347640282423</v>
      </c>
      <c r="X40" s="188">
        <f>IFERROR(AVERAGE(P37,T37,X37),0)</f>
        <v>1.3888888888888888E-2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25.881031746031748</v>
      </c>
      <c r="AI40" s="60">
        <f>IFERROR(AVERAGE(AA37,AE37,AI37),0)</f>
        <v>328.79166666666669</v>
      </c>
      <c r="AJ40" s="188">
        <f>IFERROR(AVERAGE(AB37,AF37,AJ37),0)</f>
        <v>6.9444444444444441E-3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19.998531264057579</v>
      </c>
      <c r="AU40" s="60">
        <f>IFERROR(AVERAGE(AM37,AQ37,AU37),0)</f>
        <v>175.68134278002699</v>
      </c>
      <c r="AV40" s="188">
        <f>IFERROR(AVERAGE(AN37,AR37,AV37),0)</f>
        <v>3.4722222222222217E-2</v>
      </c>
      <c r="AW40" s="73"/>
    </row>
    <row r="41" spans="1:49" s="118" customFormat="1" ht="11.25" x14ac:dyDescent="0.2">
      <c r="A41" s="115" t="s">
        <v>225</v>
      </c>
      <c r="B41" s="109">
        <f>RANK(B34,(B34,F34,J34,N34,R34,V34,Z34,AD34,AH34,AL34,AP34,AT34))</f>
        <v>12</v>
      </c>
      <c r="C41" s="110">
        <f>RANK(C34,(C34,G34,K34,O34,S34,W34,AA34,AE34,AI34,AM34,AQ34,AU34))</f>
        <v>12</v>
      </c>
      <c r="D41" s="116">
        <f>RANK(D34,(D34,H34,L34,P34,T34,X34,AB34,AF34,AJ34,AN34,AR34,AV34))</f>
        <v>1</v>
      </c>
      <c r="E41" s="117"/>
      <c r="F41" s="109">
        <f>RANK(F34,(B34,F34,J34,N34,R34,V34,Z34,AD34,AH34,AL34,AP34,AT34))</f>
        <v>10</v>
      </c>
      <c r="G41" s="110">
        <f>RANK(G34,(C34,G34,K34,O34,S34,W34,AA34,AE34,AI34,AM34,AQ34,AU34))</f>
        <v>8</v>
      </c>
      <c r="H41" s="116">
        <f>RANK(H34,(D34,H34,L34,P34,T34,X34,AB34,AF34,AJ34,AN34,AR34,AV34))</f>
        <v>5</v>
      </c>
      <c r="I41" s="117"/>
      <c r="J41" s="109">
        <f>RANK(J34,(B34,F34,J34,N34,R34,V34,Z34,AD34,AH34,AL34,AP34,AT34))</f>
        <v>8</v>
      </c>
      <c r="K41" s="110">
        <f>RANK(K34,(C34,G34,K34,O34,S34,W34,AA34,AE34,AI34,AM34,AQ34,AU34))</f>
        <v>9</v>
      </c>
      <c r="L41" s="116">
        <f>RANK(L34,(D34,H34,L34,P34,T34,X34,AB34,AF34,AJ34,AN34,AR34,AV34))</f>
        <v>4</v>
      </c>
      <c r="M41" s="117"/>
      <c r="N41" s="109">
        <f>RANK(N34,(B34,F34,J34,N34,R34,V34,Z34,AD34,AH34,AL34,AP34,AT34))</f>
        <v>2</v>
      </c>
      <c r="O41" s="110">
        <f>RANK(O34,(C34,G34,K34,O34,S34,W34,AA34,AE34,AI34,AM34,AQ34,AU34))</f>
        <v>5</v>
      </c>
      <c r="P41" s="116">
        <f>RANK(P34,(D34,H34,L34,P34,T34,X34,AB34,AF34,AJ34,AN34,AR34,AV34))</f>
        <v>6</v>
      </c>
      <c r="Q41" s="117"/>
      <c r="R41" s="109">
        <f>RANK(R34,(B34,F34,J34,N34,R34,V34,Z34,AD34,AH34,AL34,AP34,AT34))</f>
        <v>5</v>
      </c>
      <c r="S41" s="110">
        <f>RANK(S34,(C34,G34,K34,O34,S34,W34,AA34,AE34,AI34,AM34,AQ34,AU34))</f>
        <v>6</v>
      </c>
      <c r="T41" s="116">
        <f>RANK(T34,(D34,H34,L34,P34,T34,X34,AB34,AF34,AJ34,AN34,AR34,AV34))</f>
        <v>9</v>
      </c>
      <c r="U41" s="117"/>
      <c r="V41" s="109">
        <f>RANK(V34,(B34,F34,J34,N34,R34,V34,Z34,AD34,AH34,AL34,AP34,AT34))</f>
        <v>1</v>
      </c>
      <c r="W41" s="110">
        <f>RANK(W34,(C34,G34,K34,O34,S34,W34,AA34,AE34,AI34,AM34,AQ34,AU34))</f>
        <v>1</v>
      </c>
      <c r="X41" s="116">
        <f>RANK(X34,(D34,H34,L34,P34,T34,X34,AB34,AF34,AJ34,AN34,AR34,AV34))</f>
        <v>6</v>
      </c>
      <c r="Y41" s="117"/>
      <c r="Z41" s="109">
        <f>RANK(Z34,(B34,F34,J34,N34,R34,V34,Z34,AD34,AH34,AL34,AP34,AT34))</f>
        <v>6</v>
      </c>
      <c r="AA41" s="110">
        <f>RANK(AA34,(C34,G34,K34,O34,S34,W34,AA34,AE34,AI34,AM34,AQ34,AU34))</f>
        <v>7</v>
      </c>
      <c r="AB41" s="116">
        <f>RANK(AB34,(D34,H34,L34,P34,T34,X34,AB34,AF34,AJ34,AN34,AR34,AV34))</f>
        <v>6</v>
      </c>
      <c r="AC41" s="117"/>
      <c r="AD41" s="109">
        <f>RANK(AD34,(B34,F34,J34,N34,R34,V34,Z34,AD34,AH34,AL34,AP34,AT34))</f>
        <v>3</v>
      </c>
      <c r="AE41" s="110">
        <f>RANK(AE34,(C34,G34,K34,O34,S34,W34,AA34,AE34,AI34,AM34,AQ34,AU34))</f>
        <v>2</v>
      </c>
      <c r="AF41" s="116">
        <f>RANK(AF34,(D34,H34,L34,P34,T34,X34,AB34,AF34,AJ34,AN34,AR34,AV34))</f>
        <v>9</v>
      </c>
      <c r="AG41" s="117"/>
      <c r="AH41" s="109">
        <f>RANK(AH34,(B34,F34,J34,N34,R34,V34,Z34,AD34,AH34,AL34,AP34,AT34))</f>
        <v>7</v>
      </c>
      <c r="AI41" s="110">
        <f>RANK(AI34,(C34,G34,K34,O34,S34,W34,AA34,AE34,AI34,AM34,AQ34,AU34))</f>
        <v>3</v>
      </c>
      <c r="AJ41" s="116">
        <f>RANK(AJ34,(D34,H34,L34,P34,T34,X34,AB34,AF34,AJ34,AN34,AR34,AV34))</f>
        <v>9</v>
      </c>
      <c r="AK41" s="117"/>
      <c r="AL41" s="109">
        <f>RANK(AL34,(B34,F34,J34,N34,R34,V34,Z34,AD34,AH34,AL34,AP34,AT34))</f>
        <v>4</v>
      </c>
      <c r="AM41" s="110">
        <f>RANK(AM34,(C34,G34,K34,O34,S34,W34,AA34,AE34,AI34,AM34,AQ34,AU34))</f>
        <v>4</v>
      </c>
      <c r="AN41" s="116">
        <f>RANK(AN34,(D34,H34,L34,P34,T34,X34,AB34,AF34,AJ34,AN34,AR34,AV34))</f>
        <v>3</v>
      </c>
      <c r="AO41" s="117"/>
      <c r="AP41" s="109">
        <f>RANK(AP34,(B34,F34,J34,N34,R34,V34,Z34,AD34,AH34,AL34,AP34,AT34))</f>
        <v>9</v>
      </c>
      <c r="AQ41" s="110">
        <f>RANK(AQ34,(C34,G34,K34,O34,S34,W34,AA34,AE34,AI34,AM34,AQ34,AU34))</f>
        <v>11</v>
      </c>
      <c r="AR41" s="116">
        <f>RANK(AR34,(D34,H34,L34,P34,T34,X34,AB34,AF34,AJ34,AN34,AR34,AV34))</f>
        <v>9</v>
      </c>
      <c r="AS41" s="117"/>
      <c r="AT41" s="109">
        <f>RANK(AT34,(B34,F34,J34,N34,R34,V34,Z34,AD34,AH34,AL34,AP34,AT34))</f>
        <v>11</v>
      </c>
      <c r="AU41" s="110">
        <f>RANK(AU34,(C34,G34,K34,O34,S34,W34,AA34,AE34,AI34,AM34,AQ34,AU34))</f>
        <v>10</v>
      </c>
      <c r="AV41" s="116">
        <f>RANK(AV34,(D34,H34,L34,P34,T34,X34,AB34,AF34,AJ34,AN34,AR34,AV34))</f>
        <v>2</v>
      </c>
      <c r="AW41" s="122"/>
    </row>
    <row r="42" spans="1:49" s="54" customFormat="1" ht="11.25" x14ac:dyDescent="0.2">
      <c r="A42" s="57" t="s">
        <v>218</v>
      </c>
      <c r="B42" s="100">
        <f>T1</f>
        <v>24.566448971731607</v>
      </c>
      <c r="C42" s="101">
        <f>AB1</f>
        <v>261.88691068899544</v>
      </c>
      <c r="D42" s="102"/>
      <c r="E42" s="214" t="s">
        <v>404</v>
      </c>
      <c r="F42" s="215">
        <f>SUM(J23:J33,N3:N33,R3:R33,V3:V33,Z3:Z33,AD3:AD33,AH3:AH23)</f>
        <v>4173.6299999999983</v>
      </c>
      <c r="G42" s="216">
        <f>SUM(K23:K33,O3:O32,S3:S33,W3:W32,AA3:AA33,AE3:AE33,AI3:AI23)</f>
        <v>48079</v>
      </c>
      <c r="H42" s="217"/>
      <c r="I42" s="217"/>
      <c r="J42" s="218">
        <f>IFERROR(F42/(F42+F43),0)</f>
        <v>0.62601507729136696</v>
      </c>
      <c r="K42" s="218">
        <f>IFERROR(G42/(G42+G43),0)</f>
        <v>0.66763407115283135</v>
      </c>
      <c r="L42" s="217"/>
      <c r="M42" s="309" t="s">
        <v>606</v>
      </c>
      <c r="N42" s="307">
        <v>23</v>
      </c>
      <c r="Y42" s="173"/>
      <c r="AK42" s="255" t="s">
        <v>484</v>
      </c>
      <c r="AL42" s="52">
        <f>MAX(B34,F34,J34,N34,R34,V34,Z34,AD34,AH34,AL34,AP34,AT34)</f>
        <v>902.05000000000018</v>
      </c>
      <c r="AM42" s="256">
        <f>MAX(C34,G34,K34,O34,S34,W34,AA34,AE34,AI34,AM34,AQ34,AU34)</f>
        <v>12610</v>
      </c>
      <c r="AN42" s="54" t="s">
        <v>351</v>
      </c>
      <c r="AO42" s="253" t="s">
        <v>349</v>
      </c>
      <c r="AP42" s="59">
        <f>R1-'10'!R1</f>
        <v>207.75999999999996</v>
      </c>
      <c r="AQ42" s="91">
        <f>AF1-'10'!AF1</f>
        <v>1681</v>
      </c>
      <c r="AR42" s="54" t="s">
        <v>350</v>
      </c>
      <c r="AS42" s="252" t="s">
        <v>349</v>
      </c>
      <c r="AT42" s="59">
        <f>I1-'10'!I1</f>
        <v>-1.3100000000000023</v>
      </c>
      <c r="AU42" s="91">
        <f>AN1-'10'!AN1</f>
        <v>30</v>
      </c>
      <c r="AV42" s="54" t="s">
        <v>351</v>
      </c>
      <c r="AW42" s="73"/>
    </row>
    <row r="43" spans="1:49" s="54" customFormat="1" ht="11.25" x14ac:dyDescent="0.2">
      <c r="A43" s="57" t="s">
        <v>219</v>
      </c>
      <c r="B43" s="100">
        <f>E1/365</f>
        <v>18.265698630136988</v>
      </c>
      <c r="C43" s="101">
        <f>AU1/365</f>
        <v>197.2986301369863</v>
      </c>
      <c r="D43" s="102"/>
      <c r="E43" s="210" t="s">
        <v>405</v>
      </c>
      <c r="F43" s="211">
        <f>E1-F42</f>
        <v>2493.3500000000022</v>
      </c>
      <c r="G43" s="212">
        <f>AU1-G42</f>
        <v>23935</v>
      </c>
      <c r="H43" s="213"/>
      <c r="I43" s="213"/>
      <c r="J43" s="219">
        <f>IFERROR(F43/(F42+F43),0)</f>
        <v>0.37398492270863298</v>
      </c>
      <c r="K43" s="219">
        <f>IFERROR(G43/(G42+G43),0)</f>
        <v>0.33236592884716859</v>
      </c>
      <c r="L43" s="213"/>
      <c r="M43" s="71" t="s">
        <v>607</v>
      </c>
      <c r="N43" s="308">
        <v>9</v>
      </c>
      <c r="Y43" s="73"/>
      <c r="AK43" s="257" t="s">
        <v>487</v>
      </c>
      <c r="AL43" s="228">
        <f>IF($B$1&lt;&gt;0,$AV$35/$B1,0)</f>
        <v>5.4567782886023097E-2</v>
      </c>
      <c r="AO43" s="254" t="s">
        <v>349</v>
      </c>
      <c r="AP43" s="59">
        <f>AV35-'10'!AV35</f>
        <v>-536</v>
      </c>
      <c r="AQ43" s="228">
        <f>AL43-'10'!AL43</f>
        <v>-0.11662504516074629</v>
      </c>
      <c r="AR43" s="54" t="s">
        <v>208</v>
      </c>
      <c r="AS43" s="252" t="s">
        <v>349</v>
      </c>
      <c r="AT43" s="59">
        <f>B1-'10'!B1</f>
        <v>1673.0500000000002</v>
      </c>
      <c r="AU43" s="91">
        <f>AU1-'10'!AU1</f>
        <v>33823</v>
      </c>
      <c r="AV43" s="54" t="s">
        <v>352</v>
      </c>
      <c r="AW43" s="73"/>
    </row>
  </sheetData>
  <sheetProtection password="CC70" sheet="1" objects="1" scenarios="1"/>
  <mergeCells count="19"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  <mergeCell ref="AU1:AV1"/>
    <mergeCell ref="AH1:AI1"/>
    <mergeCell ref="AJ1:AK1"/>
    <mergeCell ref="AL1:AM1"/>
    <mergeCell ref="AN1:AO1"/>
    <mergeCell ref="AP1:AQ1"/>
    <mergeCell ref="AR1:AS1"/>
  </mergeCells>
  <conditionalFormatting sqref="B34 F34 J34 N34 R34 V34 Z34 AD34 AH34 AL34 AP34 AT34">
    <cfRule type="cellIs" dxfId="649" priority="67" operator="equal">
      <formula>$R$1</formula>
    </cfRule>
    <cfRule type="cellIs" dxfId="648" priority="68" operator="equal">
      <formula>$M$1</formula>
    </cfRule>
  </conditionalFormatting>
  <conditionalFormatting sqref="C34 G34 K34 O34 S34 W34 AA34 AE34 AI34 AM34 AQ34 AU34">
    <cfRule type="cellIs" dxfId="647" priority="66" operator="equal">
      <formula>$AF$1</formula>
    </cfRule>
    <cfRule type="cellIs" dxfId="646" priority="69" operator="equal">
      <formula>$AJ$1</formula>
    </cfRule>
  </conditionalFormatting>
  <conditionalFormatting sqref="B38:C38 F38:G38 J38:K38 N38:O38 R38:S38 V38:W38 Z38:AA38 AD38:AE38 AH38:AI38 AL38:AM38 AP38:AQ38 AT38:AU38 AT42:AU43 AP42:AQ42">
    <cfRule type="cellIs" dxfId="645" priority="63" operator="lessThan">
      <formula>0</formula>
    </cfRule>
    <cfRule type="cellIs" dxfId="644" priority="64" operator="greaterThanOrEqual">
      <formula>0</formula>
    </cfRule>
  </conditionalFormatting>
  <conditionalFormatting sqref="C38 G38 K38 O38 S38 W38 AA38 AE38 AI38 AM38 AQ38 AU38 AU42:AU43 AQ42">
    <cfRule type="cellIs" dxfId="643" priority="61" operator="lessThan">
      <formula>0</formula>
    </cfRule>
    <cfRule type="cellIs" dxfId="642" priority="62" operator="greaterThanOrEqual">
      <formula>0</formula>
    </cfRule>
  </conditionalFormatting>
  <conditionalFormatting sqref="D38">
    <cfRule type="cellIs" dxfId="641" priority="54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640" priority="53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639" priority="52" operator="equal">
      <formula>MAX($D$34,$H$34,$L$34,$P$34,$T$34,$X$34,$AB$34,$AF$34,$AJ$34,$AN$34,$AR$34,$AV$34)</formula>
    </cfRule>
  </conditionalFormatting>
  <conditionalFormatting sqref="D3:D33 H3:H33 L3:L33 P3:P33 T3:T33 X3:X33 AB3:AB33 AF3:AF33 AJ3:AJ33 AN3:AN33 AR3:AR33 AV3:AV33">
    <cfRule type="cellIs" dxfId="638" priority="49" stopIfTrue="1" operator="between">
      <formula>0</formula>
      <formula>0.0416550925925926</formula>
    </cfRule>
    <cfRule type="cellIs" dxfId="637" priority="50" stopIfTrue="1" operator="between">
      <formula>0.0416666666666667</formula>
      <formula>0.0833217592592593</formula>
    </cfRule>
    <cfRule type="cellIs" dxfId="636" priority="51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635" priority="37" operator="equal">
      <formula>MAX($D$36,$H$36,$L$36,$P$36,$T$36,$X$36,$AB$36,$AF$36,$AJ$36,$AN$36,$AR$36,$AV$36)</formula>
    </cfRule>
  </conditionalFormatting>
  <conditionalFormatting sqref="AP43">
    <cfRule type="cellIs" dxfId="634" priority="35" operator="lessThan">
      <formula>0</formula>
    </cfRule>
    <cfRule type="cellIs" dxfId="633" priority="36" operator="greaterThanOrEqual">
      <formula>0</formula>
    </cfRule>
  </conditionalFormatting>
  <conditionalFormatting sqref="B3:B33 F3:F33 J3:J33 N3:N33 R3:R33 V3:V33 Z3:Z33 AT3:AT33 AH3:AH33 AL3:AL33 AP3:AP33 AD3:AD33">
    <cfRule type="cellIs" dxfId="632" priority="58" stopIfTrue="1" operator="lessThan">
      <formula>50</formula>
    </cfRule>
    <cfRule type="cellIs" dxfId="631" priority="59" stopIfTrue="1" operator="greaterThanOrEqual">
      <formula>100</formula>
    </cfRule>
    <cfRule type="cellIs" dxfId="630" priority="60" operator="greaterThanOrEqual">
      <formula>50</formula>
    </cfRule>
  </conditionalFormatting>
  <conditionalFormatting sqref="C3:C33 G3:G33 K3:K33 O3:O33 S3:S33 W3:W33 AA3:AA33 AU3:AU33 AI3:AI33 AM3:AM33 AQ3:AQ33 AE3:AE33">
    <cfRule type="cellIs" dxfId="629" priority="55" stopIfTrue="1" operator="between">
      <formula>0</formula>
      <formula>749.99</formula>
    </cfRule>
    <cfRule type="cellIs" dxfId="628" priority="56" stopIfTrue="1" operator="greaterThanOrEqual">
      <formula>1500</formula>
    </cfRule>
    <cfRule type="cellIs" dxfId="627" priority="57" operator="greaterThanOrEqual">
      <formula>750</formula>
    </cfRule>
  </conditionalFormatting>
  <conditionalFormatting sqref="AQ43">
    <cfRule type="cellIs" dxfId="626" priority="33" stopIfTrue="1" operator="lessThan">
      <formula>0</formula>
    </cfRule>
    <cfRule type="cellIs" dxfId="625" priority="34" operator="greaterThanOrEqual">
      <formula>0</formula>
    </cfRule>
  </conditionalFormatting>
  <conditionalFormatting sqref="AL42">
    <cfRule type="cellIs" dxfId="624" priority="26" stopIfTrue="1" operator="lessThan">
      <formula>1000</formula>
    </cfRule>
    <cfRule type="cellIs" dxfId="623" priority="27" stopIfTrue="1" operator="lessThan">
      <formula>1100</formula>
    </cfRule>
    <cfRule type="cellIs" dxfId="622" priority="28" stopIfTrue="1" operator="lessThan">
      <formula>9999</formula>
    </cfRule>
  </conditionalFormatting>
  <conditionalFormatting sqref="AM42">
    <cfRule type="cellIs" dxfId="621" priority="23" stopIfTrue="1" operator="lessThan">
      <formula>10000</formula>
    </cfRule>
    <cfRule type="cellIs" dxfId="620" priority="24" stopIfTrue="1" operator="lessThan">
      <formula>13000</formula>
    </cfRule>
    <cfRule type="cellIs" dxfId="619" priority="25" stopIfTrue="1" operator="lessThan">
      <formula>99999</formula>
    </cfRule>
  </conditionalFormatting>
  <conditionalFormatting sqref="AL43">
    <cfRule type="cellIs" dxfId="618" priority="18" stopIfTrue="1" operator="lessThan">
      <formula>0.05</formula>
    </cfRule>
    <cfRule type="cellIs" dxfId="617" priority="19" stopIfTrue="1" operator="lessThan">
      <formula>0.1</formula>
    </cfRule>
    <cfRule type="cellIs" dxfId="616" priority="20" stopIfTrue="1" operator="lessThanOrEqual">
      <formula>1</formula>
    </cfRule>
  </conditionalFormatting>
  <pageMargins left="0.7" right="0.7" top="0.78740157499999996" bottom="0.78740157499999996" header="0.3" footer="0.3"/>
  <ignoredErrors>
    <ignoredError sqref="F42:G42" formulaRange="1"/>
  </ignoredErrors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286213A9-06C6-4BBB-AB39-62DC01172010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5" operator="equal" id="{BAC32296-38D0-4E74-A7CD-7B95953A82DE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48" operator="equal" id="{40C47CD5-50EE-4633-BE4A-26A63830B242}">
            <xm:f>MAX('08'!$C$34,'09'!$C$34,'10'!$C$34,$C$34)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47" operator="equal" id="{D1E3CF95-7AFC-431B-879B-8631FFFCF9C4}">
            <xm:f>MAX('08'!$F$34,'09'!$G$34,'12'!$G$34,$G$34)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46" operator="equal" id="{058E123F-2B4B-4745-9C95-21F78900FE30}">
            <xm:f>MAX('08'!$I$34,'09'!$K$34,'10'!$K$34,$K$34)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45" operator="equal" id="{D9AEEDAA-BD35-4DA7-820D-90012B9162CA}">
            <xm:f>MAX('08'!$L$34,'09'!$O$34,'10'!$O$34,$O$34)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44" operator="equal" id="{4967F961-F492-485A-87BA-9FCD88F6A26D}">
            <xm:f>MAX('08'!$O$34,'09'!$S$34,'10'!$S$34,$S$34)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43" operator="equal" id="{CAB0C9A7-CF0C-40FA-BB6C-14BC990A42C9}">
            <xm:f>MAX('08'!$R$34,'09'!$W$34,'10'!$W$34,$W$34,'13'!$W$34,$W$34)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42" operator="equal" id="{1217D046-577B-440A-81C7-C17AA4DB3511}">
            <xm:f>MAX('08'!$U$34,'09'!$AA$34,'10'!$AA$34,$AA$34)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41" operator="equal" id="{31397583-A60C-4FEE-9806-8ED55E89EBAC}">
            <xm:f>MAX('08'!$X$34,'09'!$AE$34,'10'!$AE$34,$AE$34)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40" operator="equal" id="{EADB2526-ACD8-42CF-B251-E7BFEE38D26E}">
            <xm:f>MAX('08'!$AA$34,'09'!$AI$34,'13'!$AI$34,$AI$34)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39" operator="equal" id="{6A4C5678-24C8-4A89-9C05-B8CB8D77E31B}">
            <xm:f>MAX('08'!$AD$34,'09'!$AM$34,'10'!$AM$34,$AM$34,'14'!$AM$34)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38" operator="equal" id="{F2C39B91-70EA-47AE-A859-E71FD65C8646}">
            <xm:f>MAX('08'!$AG$34,'09'!$AQ$34,'10'!$AQ$34,$AQ$34)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65" operator="equal" id="{E71D36A8-907F-431E-AE60-4CE89D891353}">
            <xm:f>MAX('08'!$AJ$34,'09'!$AU$34,'10'!$AU$34,$AU$34)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31" operator="equal" id="{892A5C91-8B07-407C-88F8-C5ADBD2A39BB}">
            <xm:f>MAX('08'!$K$34,'09'!$N$34,'10'!$N$34,$N$34,'12'!$N$34,'14'!$N$34)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30" operator="equal" id="{E2ED1DAE-3DC9-4E3F-AA88-3DFBE3845DF4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29" operator="equal" id="{7DBAD43C-2173-4A73-9EB1-88A88245B2DF}">
            <xm:f>MAX('08'!$AJ$35,'09'!$AU$35,'10'!$AU$35,$AU$35,'12'!$AU$35)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17" operator="equal" id="{5F4E254E-E32B-4F51-B495-F387AA84FB65}">
            <xm:f>MAX($B$1,'08'!$C$1:$D$1,'09'!$B$1:$C$1,'10'!$B$1:$C$1,'12'!$B$1:$C$1)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16" operator="equal" id="{D60BC565-336A-4432-88FC-5495DA7ED823}">
            <xm:f>MAX('08'!$B$34,'09'!$B$34,'10'!$B$34,$B$34,'12'!$B$34)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15" operator="equal" id="{BA8A77B7-C022-40D2-8754-76283C145FC8}">
            <xm:f>MAX('08'!$E$34,'09'!$F$34,'10'!$F$34,$F$34,'12'!$F$34)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14" operator="equal" id="{D95EC3FA-FC84-43AE-8468-4725707A8AC5}">
            <xm:f>MAX('08'!$H$34,'09'!$J$34,'10'!$J$34,$J$34,'12'!$J$34)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13" operator="equal" id="{F158E091-0DCC-4519-9C5F-3B454825629C}">
            <xm:f>MAX('08'!$N$34,'09'!$R$34,'10'!$R$34,$R$34,'12'!$R$34)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12" operator="equal" id="{57D14580-0F95-4F3F-9443-E2FA2ADF6DA0}">
            <xm:f>MAX('08'!$Q$34,'09'!$V$34,'10'!$V$34,$V$34,'12'!$V$34)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11" operator="equal" id="{BFD40B45-19C3-45E9-A576-4252EADE23A4}">
            <xm:f>MAX('08'!$T$34,'09'!$Z$34,'10'!$Z$34,$Z$34,'12'!$Z$34)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0" operator="equal" id="{6878F491-4552-46E2-BB77-CD1338151840}">
            <xm:f>MAX('08'!$W$34,'09'!$AD$34,'10'!$AD$34,$AD$34,'12'!$AD$34)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9" operator="equal" id="{A5FDE7FD-D984-4A14-BC7D-545B93BA4D7F}">
            <xm:f>MAX('08'!$Z$34,'09'!$AH$34,'10'!$AH$34,$AH$34,'12'!$AH$34)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8" operator="equal" id="{7544B07B-7301-4B9A-BCEC-A3760596EAEA}">
            <xm:f>MAX('08'!$AC$34,'09'!$AL$34,'10'!$AL$34,$AL$34,'12'!$AL$34,'13'!$AL$34)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7" operator="equal" id="{E712BA33-92BF-452F-A4BE-7251D02AC444}">
            <xm:f>MAX('08'!$AF$34,'09'!$AP$34,'10'!$AP$34,$AP$34,'12'!$AP$34)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6" operator="equal" id="{55CA137A-D5D4-4448-B280-488C6074A369}">
            <xm:f>MAX('08'!$AI$34,'09'!$AT$34,'10'!$AT$34,$AT$34,'12'!$AT$34)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1" operator="equal" id="{FE04A1E8-8771-49C0-AB7E-96FB5998E8C3}">
            <xm:f>MAX('13'!$AR$1,'12'!$AR$1,$AR$1,'10'!$AR$1,'09'!$AR$1)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249977111117893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5.7109375" bestFit="1" customWidth="1"/>
    <col min="3" max="3" width="4.85546875" bestFit="1" customWidth="1"/>
    <col min="4" max="4" width="4.28515625" bestFit="1" customWidth="1"/>
    <col min="5" max="5" width="6.5703125" bestFit="1" customWidth="1"/>
    <col min="6" max="6" width="5.7109375" bestFit="1" customWidth="1"/>
    <col min="7" max="7" width="5.28515625" bestFit="1" customWidth="1"/>
    <col min="8" max="8" width="4.140625" bestFit="1" customWidth="1"/>
    <col min="9" max="9" width="3.5703125" bestFit="1" customWidth="1"/>
    <col min="10" max="10" width="7" bestFit="1" customWidth="1"/>
    <col min="11" max="11" width="6.7109375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6.28515625" bestFit="1" customWidth="1"/>
    <col min="20" max="20" width="4.140625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.140625" bestFit="1" customWidth="1"/>
    <col min="29" max="29" width="3.85546875" bestFit="1" customWidth="1"/>
    <col min="30" max="30" width="7.5703125" bestFit="1" customWidth="1"/>
    <col min="31" max="31" width="6.28515625" bestFit="1" customWidth="1"/>
    <col min="32" max="32" width="4" bestFit="1" customWidth="1"/>
    <col min="33" max="33" width="3.7109375" bestFit="1" customWidth="1"/>
    <col min="34" max="34" width="7" bestFit="1" customWidth="1"/>
    <col min="35" max="35" width="5.7109375" bestFit="1" customWidth="1"/>
    <col min="36" max="36" width="4.140625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5.7109375" bestFit="1" customWidth="1"/>
    <col min="44" max="44" width="4.140625" bestFit="1" customWidth="1"/>
    <col min="45" max="45" width="3.7109375" bestFit="1" customWidth="1"/>
    <col min="46" max="46" width="7" bestFit="1" customWidth="1"/>
    <col min="47" max="47" width="5.7109375" bestFit="1" customWidth="1"/>
    <col min="48" max="48" width="4.140625" bestFit="1" customWidth="1"/>
    <col min="49" max="49" width="4.5703125" customWidth="1"/>
  </cols>
  <sheetData>
    <row r="1" spans="1:49" s="94" customFormat="1" ht="18" x14ac:dyDescent="0.25">
      <c r="A1" s="96" t="s">
        <v>243</v>
      </c>
      <c r="B1" s="416">
        <f>AT35+AV35</f>
        <v>8706.8750000000018</v>
      </c>
      <c r="C1" s="416"/>
      <c r="D1" s="97" t="s">
        <v>243</v>
      </c>
      <c r="E1" s="417">
        <f>AT35</f>
        <v>7807.6750000000011</v>
      </c>
      <c r="F1" s="417"/>
      <c r="G1" s="418" t="s">
        <v>155</v>
      </c>
      <c r="H1" s="418"/>
      <c r="I1" s="414">
        <f>MAX(B36,F36,J36,N36,R36,V36,Z36,AD36,AH36,AL36,AP36,AT36)</f>
        <v>130.34</v>
      </c>
      <c r="J1" s="414"/>
      <c r="K1" s="419" t="s">
        <v>163</v>
      </c>
      <c r="L1" s="419"/>
      <c r="M1" s="420">
        <f>MAX(B34,F34,J34,N34,R34,V34,Z34,AD34,AH34,AL34,AP34,AT34)</f>
        <v>1016.9499999999999</v>
      </c>
      <c r="N1" s="420"/>
      <c r="O1" s="413" t="s">
        <v>194</v>
      </c>
      <c r="P1" s="413"/>
      <c r="Q1" s="413"/>
      <c r="R1" s="185">
        <f>MIN(B34,F34,J34,N34,R34,V34,Z34,AD34,AH34,AL34,AP34,AT34)</f>
        <v>394.93</v>
      </c>
      <c r="S1" s="98" t="s">
        <v>211</v>
      </c>
      <c r="T1" s="426">
        <f>IFERROR(AVERAGE(B37,F37,J37,N37,R37,V37,Z37,AD37,AH37,AL37,AP37,AT37),0)</f>
        <v>24.231508363325386</v>
      </c>
      <c r="U1" s="426"/>
      <c r="V1" s="435" t="s">
        <v>486</v>
      </c>
      <c r="W1" s="435"/>
      <c r="X1" s="435"/>
      <c r="Y1" s="435"/>
      <c r="Z1" s="435"/>
      <c r="AA1" s="99" t="s">
        <v>211</v>
      </c>
      <c r="AB1" s="415">
        <f>IFERROR(AVERAGE(C37,G37,K37,O37,S37,W37,AA37,AE37,AI37,AM37,AQ37,AU37),0)</f>
        <v>275.12676947871887</v>
      </c>
      <c r="AC1" s="415"/>
      <c r="AD1" s="425" t="s">
        <v>194</v>
      </c>
      <c r="AE1" s="425"/>
      <c r="AF1" s="428">
        <f>MIN(C34,G34,K34,O34,S34,W34,AA34,AE34,AI34,AM34,AQ34,AU34)</f>
        <v>3700</v>
      </c>
      <c r="AG1" s="428"/>
      <c r="AH1" s="429" t="s">
        <v>163</v>
      </c>
      <c r="AI1" s="429"/>
      <c r="AJ1" s="430">
        <f>MAX(C34,G34,K34,O34,S34,W34,AA34,AE34,AI34,AM34,AQ34,AU34)</f>
        <v>13461</v>
      </c>
      <c r="AK1" s="430"/>
      <c r="AL1" s="432" t="s">
        <v>156</v>
      </c>
      <c r="AM1" s="432"/>
      <c r="AN1" s="431">
        <f>MAX(C36,G36,K36,O36,S36,W36,AA36,AE36,AI36,AM36,AQ36,AU36)</f>
        <v>2230</v>
      </c>
      <c r="AO1" s="431"/>
      <c r="AP1" s="421" t="s">
        <v>366</v>
      </c>
      <c r="AQ1" s="421"/>
      <c r="AR1" s="422">
        <f>MAX(D36,H36,L36,P36,T36,X36,AB36,AF36,AJ36,AN36,AR36,AV36)</f>
        <v>0.11388888888888889</v>
      </c>
      <c r="AS1" s="422"/>
      <c r="AT1" s="95" t="s">
        <v>2</v>
      </c>
      <c r="AU1" s="423">
        <f>AU35</f>
        <v>89263</v>
      </c>
      <c r="AV1" s="424"/>
      <c r="AW1" s="121"/>
    </row>
    <row r="2" spans="1:49" s="58" customFormat="1" ht="11.25" x14ac:dyDescent="0.2">
      <c r="A2" s="64" t="s">
        <v>197</v>
      </c>
      <c r="B2" s="49" t="s">
        <v>243</v>
      </c>
      <c r="C2" s="49" t="s">
        <v>2</v>
      </c>
      <c r="D2" s="49" t="s">
        <v>208</v>
      </c>
      <c r="E2" s="70" t="s">
        <v>198</v>
      </c>
      <c r="F2" s="49" t="s">
        <v>243</v>
      </c>
      <c r="G2" s="49" t="s">
        <v>2</v>
      </c>
      <c r="H2" s="49" t="s">
        <v>208</v>
      </c>
      <c r="I2" s="70" t="s">
        <v>200</v>
      </c>
      <c r="J2" s="49" t="s">
        <v>243</v>
      </c>
      <c r="K2" s="49" t="s">
        <v>2</v>
      </c>
      <c r="L2" s="49" t="s">
        <v>208</v>
      </c>
      <c r="M2" s="70" t="s">
        <v>199</v>
      </c>
      <c r="N2" s="49" t="s">
        <v>243</v>
      </c>
      <c r="O2" s="49" t="s">
        <v>2</v>
      </c>
      <c r="P2" s="49" t="s">
        <v>208</v>
      </c>
      <c r="Q2" s="70" t="s">
        <v>100</v>
      </c>
      <c r="R2" s="49" t="s">
        <v>243</v>
      </c>
      <c r="S2" s="49" t="s">
        <v>2</v>
      </c>
      <c r="T2" s="49" t="s">
        <v>208</v>
      </c>
      <c r="U2" s="70" t="s">
        <v>201</v>
      </c>
      <c r="V2" s="49" t="s">
        <v>243</v>
      </c>
      <c r="W2" s="49" t="s">
        <v>2</v>
      </c>
      <c r="X2" s="49" t="s">
        <v>208</v>
      </c>
      <c r="Y2" s="70" t="s">
        <v>202</v>
      </c>
      <c r="Z2" s="49" t="s">
        <v>243</v>
      </c>
      <c r="AA2" s="49" t="s">
        <v>2</v>
      </c>
      <c r="AB2" s="49" t="s">
        <v>208</v>
      </c>
      <c r="AC2" s="70" t="s">
        <v>203</v>
      </c>
      <c r="AD2" s="49" t="s">
        <v>243</v>
      </c>
      <c r="AE2" s="49" t="s">
        <v>2</v>
      </c>
      <c r="AF2" s="49" t="s">
        <v>208</v>
      </c>
      <c r="AG2" s="70" t="s">
        <v>204</v>
      </c>
      <c r="AH2" s="49" t="s">
        <v>243</v>
      </c>
      <c r="AI2" s="49" t="s">
        <v>2</v>
      </c>
      <c r="AJ2" s="49" t="s">
        <v>208</v>
      </c>
      <c r="AK2" s="70" t="s">
        <v>205</v>
      </c>
      <c r="AL2" s="49" t="s">
        <v>243</v>
      </c>
      <c r="AM2" s="49" t="s">
        <v>2</v>
      </c>
      <c r="AN2" s="49" t="s">
        <v>208</v>
      </c>
      <c r="AO2" s="70" t="s">
        <v>206</v>
      </c>
      <c r="AP2" s="49" t="s">
        <v>243</v>
      </c>
      <c r="AQ2" s="49" t="s">
        <v>2</v>
      </c>
      <c r="AR2" s="49" t="s">
        <v>208</v>
      </c>
      <c r="AS2" s="70" t="s">
        <v>207</v>
      </c>
      <c r="AT2" s="49" t="s">
        <v>243</v>
      </c>
      <c r="AU2" s="49" t="s">
        <v>2</v>
      </c>
      <c r="AV2" s="49" t="s">
        <v>208</v>
      </c>
      <c r="AW2" s="105"/>
    </row>
    <row r="3" spans="1:49" s="54" customFormat="1" ht="11.25" x14ac:dyDescent="0.2">
      <c r="A3" s="86">
        <v>1</v>
      </c>
      <c r="B3" s="59">
        <v>20</v>
      </c>
      <c r="C3" s="60">
        <v>40</v>
      </c>
      <c r="D3" s="186"/>
      <c r="E3" s="88">
        <v>1</v>
      </c>
      <c r="F3" s="59">
        <v>10.6</v>
      </c>
      <c r="G3" s="60">
        <v>40</v>
      </c>
      <c r="H3" s="186"/>
      <c r="I3" s="88">
        <v>1</v>
      </c>
      <c r="J3" s="59"/>
      <c r="K3" s="60"/>
      <c r="L3" s="186"/>
      <c r="M3" s="88">
        <v>1</v>
      </c>
      <c r="N3" s="59">
        <v>42.78</v>
      </c>
      <c r="O3" s="60">
        <v>461</v>
      </c>
      <c r="P3" s="186"/>
      <c r="Q3" s="88">
        <v>1</v>
      </c>
      <c r="R3" s="59">
        <v>102.85</v>
      </c>
      <c r="S3" s="60">
        <v>1303</v>
      </c>
      <c r="T3" s="186"/>
      <c r="U3" s="88">
        <v>1</v>
      </c>
      <c r="V3" s="59">
        <v>11.2</v>
      </c>
      <c r="W3" s="60">
        <v>125</v>
      </c>
      <c r="X3" s="186"/>
      <c r="Y3" s="88">
        <v>1</v>
      </c>
      <c r="Z3" s="59">
        <v>25</v>
      </c>
      <c r="AA3" s="60">
        <v>25</v>
      </c>
      <c r="AB3" s="186"/>
      <c r="AC3" s="88">
        <v>1</v>
      </c>
      <c r="AD3" s="59">
        <v>43.9</v>
      </c>
      <c r="AE3" s="60">
        <v>475</v>
      </c>
      <c r="AF3" s="186"/>
      <c r="AG3" s="88">
        <v>1</v>
      </c>
      <c r="AH3" s="59">
        <v>17</v>
      </c>
      <c r="AI3" s="60">
        <v>180</v>
      </c>
      <c r="AJ3" s="186">
        <v>4.5833333333333337E-2</v>
      </c>
      <c r="AK3" s="88">
        <v>1</v>
      </c>
      <c r="AL3" s="59">
        <v>17</v>
      </c>
      <c r="AM3" s="60">
        <v>78</v>
      </c>
      <c r="AN3" s="186"/>
      <c r="AO3" s="88">
        <v>1</v>
      </c>
      <c r="AP3" s="59">
        <v>42.370000000000005</v>
      </c>
      <c r="AQ3" s="60">
        <v>340</v>
      </c>
      <c r="AR3" s="186"/>
      <c r="AS3" s="88">
        <v>1</v>
      </c>
      <c r="AT3" s="59">
        <v>31.28</v>
      </c>
      <c r="AU3" s="60">
        <v>366</v>
      </c>
      <c r="AV3" s="186"/>
      <c r="AW3" s="73"/>
    </row>
    <row r="4" spans="1:49" s="54" customFormat="1" ht="11.25" x14ac:dyDescent="0.2">
      <c r="A4" s="86">
        <f>A3+1</f>
        <v>2</v>
      </c>
      <c r="B4" s="59"/>
      <c r="C4" s="60"/>
      <c r="D4" s="186"/>
      <c r="E4" s="88">
        <f>E3+1</f>
        <v>2</v>
      </c>
      <c r="F4" s="59">
        <v>13.1</v>
      </c>
      <c r="G4" s="60">
        <v>40</v>
      </c>
      <c r="H4" s="186"/>
      <c r="I4" s="88">
        <f>I3+1</f>
        <v>2</v>
      </c>
      <c r="J4" s="59">
        <v>6.25</v>
      </c>
      <c r="K4" s="60">
        <v>35</v>
      </c>
      <c r="L4" s="186"/>
      <c r="M4" s="88">
        <f>M3+1</f>
        <v>2</v>
      </c>
      <c r="N4" s="59">
        <v>14.84</v>
      </c>
      <c r="O4" s="60">
        <v>78</v>
      </c>
      <c r="P4" s="186"/>
      <c r="Q4" s="88">
        <f>Q3+1</f>
        <v>2</v>
      </c>
      <c r="R4" s="59">
        <v>41.234999999999999</v>
      </c>
      <c r="S4" s="60">
        <v>448</v>
      </c>
      <c r="T4" s="186"/>
      <c r="U4" s="88">
        <f>U3+1</f>
        <v>2</v>
      </c>
      <c r="V4" s="59">
        <v>55.300000000000004</v>
      </c>
      <c r="W4" s="60">
        <v>771</v>
      </c>
      <c r="X4" s="186"/>
      <c r="Y4" s="88">
        <f>Y3+1</f>
        <v>2</v>
      </c>
      <c r="Z4" s="59">
        <v>40.94</v>
      </c>
      <c r="AA4" s="60">
        <v>213</v>
      </c>
      <c r="AB4" s="186">
        <v>4.2361111111111106E-2</v>
      </c>
      <c r="AC4" s="88">
        <f>AC3+1</f>
        <v>2</v>
      </c>
      <c r="AD4" s="59">
        <v>29.5</v>
      </c>
      <c r="AE4" s="60">
        <v>270</v>
      </c>
      <c r="AF4" s="186"/>
      <c r="AG4" s="88">
        <f>AG3+1</f>
        <v>2</v>
      </c>
      <c r="AH4" s="59">
        <v>8</v>
      </c>
      <c r="AI4" s="60">
        <v>110</v>
      </c>
      <c r="AJ4" s="186"/>
      <c r="AK4" s="88">
        <f>AK3+1</f>
        <v>2</v>
      </c>
      <c r="AL4" s="59">
        <v>12.780000000000001</v>
      </c>
      <c r="AM4" s="60">
        <v>310</v>
      </c>
      <c r="AN4" s="186"/>
      <c r="AO4" s="88">
        <f>AO3+1</f>
        <v>2</v>
      </c>
      <c r="AP4" s="59">
        <v>11.8</v>
      </c>
      <c r="AQ4" s="60">
        <v>100</v>
      </c>
      <c r="AR4" s="186"/>
      <c r="AS4" s="88">
        <f>AS3+1</f>
        <v>2</v>
      </c>
      <c r="AT4" s="59">
        <v>10</v>
      </c>
      <c r="AU4" s="60">
        <v>63</v>
      </c>
      <c r="AV4" s="186">
        <v>0.11388888888888889</v>
      </c>
      <c r="AW4" s="73"/>
    </row>
    <row r="5" spans="1:49" s="54" customFormat="1" ht="11.25" x14ac:dyDescent="0.2">
      <c r="A5" s="86">
        <f t="shared" ref="A5:A33" si="0">A4+1</f>
        <v>3</v>
      </c>
      <c r="B5" s="59">
        <v>15.5</v>
      </c>
      <c r="C5" s="60">
        <v>100</v>
      </c>
      <c r="D5" s="186"/>
      <c r="E5" s="88">
        <f t="shared" ref="E5:E30" si="1">E4+1</f>
        <v>3</v>
      </c>
      <c r="F5" s="59">
        <v>12.6</v>
      </c>
      <c r="G5" s="60">
        <v>40</v>
      </c>
      <c r="H5" s="186"/>
      <c r="I5" s="88">
        <f t="shared" ref="I5:I33" si="2">I4+1</f>
        <v>3</v>
      </c>
      <c r="J5" s="59">
        <v>33.75</v>
      </c>
      <c r="K5" s="60">
        <v>84</v>
      </c>
      <c r="L5" s="186"/>
      <c r="M5" s="88">
        <f t="shared" ref="M5:M32" si="3">M4+1</f>
        <v>3</v>
      </c>
      <c r="N5" s="59">
        <v>16.399999999999999</v>
      </c>
      <c r="O5" s="60">
        <v>325</v>
      </c>
      <c r="P5" s="186"/>
      <c r="Q5" s="88">
        <f t="shared" ref="Q5:Q33" si="4">Q4+1</f>
        <v>3</v>
      </c>
      <c r="R5" s="59">
        <v>10</v>
      </c>
      <c r="S5" s="60">
        <v>115</v>
      </c>
      <c r="T5" s="186"/>
      <c r="U5" s="88">
        <f t="shared" ref="U5:U32" si="5">U4+1</f>
        <v>3</v>
      </c>
      <c r="V5" s="59">
        <v>13.96</v>
      </c>
      <c r="W5" s="60">
        <v>140</v>
      </c>
      <c r="X5" s="186">
        <v>3.125E-2</v>
      </c>
      <c r="Y5" s="88">
        <f t="shared" ref="Y5:Y33" si="6">Y4+1</f>
        <v>3</v>
      </c>
      <c r="Z5" s="59">
        <v>43.77</v>
      </c>
      <c r="AA5" s="60">
        <v>689</v>
      </c>
      <c r="AB5" s="186"/>
      <c r="AC5" s="88">
        <f t="shared" ref="AC5:AC33" si="7">AC4+1</f>
        <v>3</v>
      </c>
      <c r="AD5" s="59">
        <v>16</v>
      </c>
      <c r="AE5" s="60">
        <v>50</v>
      </c>
      <c r="AF5" s="186"/>
      <c r="AG5" s="88">
        <f t="shared" ref="AG5:AG32" si="8">AG4+1</f>
        <v>3</v>
      </c>
      <c r="AH5" s="59">
        <v>8</v>
      </c>
      <c r="AI5" s="60">
        <v>110</v>
      </c>
      <c r="AJ5" s="186"/>
      <c r="AK5" s="88">
        <f t="shared" ref="AK5:AK33" si="9">AK4+1</f>
        <v>3</v>
      </c>
      <c r="AL5" s="59">
        <v>26.66</v>
      </c>
      <c r="AM5" s="60">
        <v>616</v>
      </c>
      <c r="AN5" s="186"/>
      <c r="AO5" s="88">
        <f t="shared" ref="AO5:AO32" si="10">AO4+1</f>
        <v>3</v>
      </c>
      <c r="AP5" s="59"/>
      <c r="AQ5" s="60"/>
      <c r="AR5" s="186"/>
      <c r="AS5" s="88">
        <f t="shared" ref="AS5:AS33" si="11">AS4+1</f>
        <v>3</v>
      </c>
      <c r="AT5" s="59"/>
      <c r="AU5" s="60"/>
      <c r="AV5" s="186">
        <v>3.5416666666666666E-2</v>
      </c>
      <c r="AW5" s="73"/>
    </row>
    <row r="6" spans="1:49" s="54" customFormat="1" ht="11.25" x14ac:dyDescent="0.2">
      <c r="A6" s="86">
        <f t="shared" si="0"/>
        <v>4</v>
      </c>
      <c r="B6" s="59">
        <v>8.02</v>
      </c>
      <c r="C6" s="60">
        <v>153</v>
      </c>
      <c r="D6" s="186"/>
      <c r="E6" s="88">
        <f t="shared" si="1"/>
        <v>4</v>
      </c>
      <c r="F6" s="59">
        <v>23.610000000000003</v>
      </c>
      <c r="G6" s="60">
        <v>74</v>
      </c>
      <c r="H6" s="186">
        <v>2.4305555555555556E-2</v>
      </c>
      <c r="I6" s="88">
        <f t="shared" si="2"/>
        <v>4</v>
      </c>
      <c r="J6" s="59">
        <v>27.009999999999998</v>
      </c>
      <c r="K6" s="60">
        <v>163</v>
      </c>
      <c r="L6" s="186"/>
      <c r="M6" s="88">
        <f t="shared" si="3"/>
        <v>4</v>
      </c>
      <c r="N6" s="59">
        <v>5.5</v>
      </c>
      <c r="O6" s="60">
        <v>3</v>
      </c>
      <c r="P6" s="186"/>
      <c r="Q6" s="88">
        <f t="shared" si="4"/>
        <v>4</v>
      </c>
      <c r="R6" s="59">
        <v>14.74</v>
      </c>
      <c r="S6" s="60">
        <v>365</v>
      </c>
      <c r="T6" s="186"/>
      <c r="U6" s="88">
        <f t="shared" si="5"/>
        <v>4</v>
      </c>
      <c r="V6" s="59">
        <v>9.0500000000000007</v>
      </c>
      <c r="W6" s="60">
        <v>15</v>
      </c>
      <c r="X6" s="186"/>
      <c r="Y6" s="88">
        <f t="shared" si="6"/>
        <v>4</v>
      </c>
      <c r="Z6" s="59">
        <v>53.4</v>
      </c>
      <c r="AA6" s="60">
        <v>690</v>
      </c>
      <c r="AB6" s="186"/>
      <c r="AC6" s="88">
        <f t="shared" si="7"/>
        <v>4</v>
      </c>
      <c r="AD6" s="59">
        <v>94.61</v>
      </c>
      <c r="AE6" s="60">
        <v>1470</v>
      </c>
      <c r="AF6" s="186"/>
      <c r="AG6" s="88">
        <f t="shared" si="8"/>
        <v>4</v>
      </c>
      <c r="AH6" s="59">
        <v>15.7</v>
      </c>
      <c r="AI6" s="60">
        <v>387</v>
      </c>
      <c r="AJ6" s="186"/>
      <c r="AK6" s="88">
        <f t="shared" si="9"/>
        <v>4</v>
      </c>
      <c r="AL6" s="59">
        <v>15.63</v>
      </c>
      <c r="AM6" s="60">
        <v>50</v>
      </c>
      <c r="AN6" s="186"/>
      <c r="AO6" s="88">
        <f t="shared" si="10"/>
        <v>4</v>
      </c>
      <c r="AP6" s="59">
        <v>11</v>
      </c>
      <c r="AQ6" s="60">
        <v>60</v>
      </c>
      <c r="AR6" s="186">
        <v>5.9722222222222225E-2</v>
      </c>
      <c r="AS6" s="88">
        <f t="shared" si="11"/>
        <v>4</v>
      </c>
      <c r="AT6" s="59">
        <v>11.6</v>
      </c>
      <c r="AU6" s="60">
        <v>150</v>
      </c>
      <c r="AV6" s="186"/>
      <c r="AW6" s="73"/>
    </row>
    <row r="7" spans="1:49" s="54" customFormat="1" ht="11.25" x14ac:dyDescent="0.2">
      <c r="A7" s="86">
        <f t="shared" si="0"/>
        <v>5</v>
      </c>
      <c r="B7" s="59">
        <v>12</v>
      </c>
      <c r="C7" s="60">
        <v>8</v>
      </c>
      <c r="D7" s="186"/>
      <c r="E7" s="88">
        <f t="shared" si="1"/>
        <v>5</v>
      </c>
      <c r="F7" s="59">
        <v>30.660000000000004</v>
      </c>
      <c r="G7" s="60">
        <v>96</v>
      </c>
      <c r="H7" s="186"/>
      <c r="I7" s="88">
        <f t="shared" si="2"/>
        <v>5</v>
      </c>
      <c r="J7" s="59"/>
      <c r="K7" s="60"/>
      <c r="L7" s="186"/>
      <c r="M7" s="88">
        <f t="shared" si="3"/>
        <v>5</v>
      </c>
      <c r="N7" s="59">
        <v>18.54</v>
      </c>
      <c r="O7" s="60">
        <v>88</v>
      </c>
      <c r="P7" s="186"/>
      <c r="Q7" s="88">
        <f t="shared" si="4"/>
        <v>5</v>
      </c>
      <c r="R7" s="59"/>
      <c r="S7" s="60"/>
      <c r="T7" s="186"/>
      <c r="U7" s="88">
        <f t="shared" si="5"/>
        <v>5</v>
      </c>
      <c r="V7" s="59">
        <v>16.68</v>
      </c>
      <c r="W7" s="60">
        <v>221</v>
      </c>
      <c r="X7" s="186"/>
      <c r="Y7" s="88">
        <f t="shared" si="6"/>
        <v>5</v>
      </c>
      <c r="Z7" s="59">
        <v>66.209999999999994</v>
      </c>
      <c r="AA7" s="60">
        <v>730</v>
      </c>
      <c r="AB7" s="186"/>
      <c r="AC7" s="88">
        <f t="shared" si="7"/>
        <v>5</v>
      </c>
      <c r="AD7" s="59">
        <v>34.51</v>
      </c>
      <c r="AE7" s="60">
        <v>385</v>
      </c>
      <c r="AF7" s="186">
        <v>4.2361111111111106E-2</v>
      </c>
      <c r="AG7" s="88">
        <f t="shared" si="8"/>
        <v>5</v>
      </c>
      <c r="AH7" s="59">
        <v>12.780000000000001</v>
      </c>
      <c r="AI7" s="60">
        <v>310</v>
      </c>
      <c r="AJ7" s="186"/>
      <c r="AK7" s="88">
        <f t="shared" si="9"/>
        <v>5</v>
      </c>
      <c r="AL7" s="59">
        <v>17.2</v>
      </c>
      <c r="AM7" s="60">
        <v>417</v>
      </c>
      <c r="AN7" s="186"/>
      <c r="AO7" s="88">
        <f t="shared" si="10"/>
        <v>5</v>
      </c>
      <c r="AP7" s="59">
        <v>15</v>
      </c>
      <c r="AQ7" s="60">
        <v>30</v>
      </c>
      <c r="AR7" s="186"/>
      <c r="AS7" s="88">
        <f t="shared" si="11"/>
        <v>5</v>
      </c>
      <c r="AT7" s="59">
        <v>20.2</v>
      </c>
      <c r="AU7" s="60">
        <v>180</v>
      </c>
      <c r="AV7" s="186"/>
      <c r="AW7" s="73"/>
    </row>
    <row r="8" spans="1:49" s="54" customFormat="1" ht="11.25" x14ac:dyDescent="0.2">
      <c r="A8" s="86">
        <f t="shared" si="0"/>
        <v>6</v>
      </c>
      <c r="B8" s="59">
        <v>25</v>
      </c>
      <c r="C8" s="60">
        <v>113</v>
      </c>
      <c r="D8" s="186"/>
      <c r="E8" s="88">
        <f t="shared" si="1"/>
        <v>6</v>
      </c>
      <c r="F8" s="59">
        <v>10.3</v>
      </c>
      <c r="G8" s="60">
        <v>60</v>
      </c>
      <c r="H8" s="186"/>
      <c r="I8" s="88">
        <f t="shared" si="2"/>
        <v>6</v>
      </c>
      <c r="J8" s="59">
        <v>10.3</v>
      </c>
      <c r="K8" s="60">
        <v>60</v>
      </c>
      <c r="L8" s="186"/>
      <c r="M8" s="88">
        <f t="shared" si="3"/>
        <v>6</v>
      </c>
      <c r="N8" s="59">
        <v>35.54</v>
      </c>
      <c r="O8" s="60">
        <v>206</v>
      </c>
      <c r="P8" s="186"/>
      <c r="Q8" s="88">
        <f t="shared" si="4"/>
        <v>6</v>
      </c>
      <c r="R8" s="59">
        <v>10.5</v>
      </c>
      <c r="S8" s="60">
        <v>7</v>
      </c>
      <c r="T8" s="186">
        <v>4.1666666666666664E-2</v>
      </c>
      <c r="U8" s="88">
        <f t="shared" si="5"/>
        <v>6</v>
      </c>
      <c r="V8" s="59"/>
      <c r="W8" s="60"/>
      <c r="X8" s="186"/>
      <c r="Y8" s="88">
        <f t="shared" si="6"/>
        <v>6</v>
      </c>
      <c r="Z8" s="59">
        <v>35.244999999999997</v>
      </c>
      <c r="AA8" s="60">
        <v>97</v>
      </c>
      <c r="AB8" s="186">
        <v>4.8611111111111112E-2</v>
      </c>
      <c r="AC8" s="88">
        <f t="shared" si="7"/>
        <v>6</v>
      </c>
      <c r="AD8" s="59">
        <v>16</v>
      </c>
      <c r="AE8" s="60">
        <v>50</v>
      </c>
      <c r="AF8" s="186"/>
      <c r="AG8" s="88">
        <f t="shared" si="8"/>
        <v>6</v>
      </c>
      <c r="AH8" s="59">
        <v>8</v>
      </c>
      <c r="AI8" s="60">
        <v>110</v>
      </c>
      <c r="AJ8" s="186"/>
      <c r="AK8" s="88">
        <f t="shared" si="9"/>
        <v>6</v>
      </c>
      <c r="AL8" s="59">
        <v>36.619999999999997</v>
      </c>
      <c r="AM8" s="60">
        <v>458</v>
      </c>
      <c r="AN8" s="186"/>
      <c r="AO8" s="88">
        <f t="shared" si="10"/>
        <v>6</v>
      </c>
      <c r="AP8" s="59">
        <v>18.04</v>
      </c>
      <c r="AQ8" s="60">
        <v>145</v>
      </c>
      <c r="AR8" s="186"/>
      <c r="AS8" s="88">
        <f t="shared" si="11"/>
        <v>6</v>
      </c>
      <c r="AT8" s="59">
        <v>12.9</v>
      </c>
      <c r="AU8" s="60">
        <v>40</v>
      </c>
      <c r="AV8" s="186"/>
      <c r="AW8" s="73"/>
    </row>
    <row r="9" spans="1:49" s="54" customFormat="1" ht="11.25" x14ac:dyDescent="0.2">
      <c r="A9" s="86">
        <f t="shared" si="0"/>
        <v>7</v>
      </c>
      <c r="B9" s="59">
        <v>23.53</v>
      </c>
      <c r="C9" s="60">
        <v>130</v>
      </c>
      <c r="D9" s="186">
        <v>4.1666666666666664E-2</v>
      </c>
      <c r="E9" s="88">
        <f t="shared" si="1"/>
        <v>7</v>
      </c>
      <c r="F9" s="59">
        <v>10.5</v>
      </c>
      <c r="G9" s="60">
        <v>12</v>
      </c>
      <c r="H9" s="186"/>
      <c r="I9" s="88">
        <f t="shared" si="2"/>
        <v>7</v>
      </c>
      <c r="J9" s="59"/>
      <c r="K9" s="60"/>
      <c r="L9" s="186"/>
      <c r="M9" s="88">
        <f t="shared" si="3"/>
        <v>7</v>
      </c>
      <c r="N9" s="59">
        <v>11.4</v>
      </c>
      <c r="O9" s="60">
        <v>40</v>
      </c>
      <c r="P9" s="186">
        <v>4.1666666666666664E-2</v>
      </c>
      <c r="Q9" s="88">
        <f t="shared" si="4"/>
        <v>7</v>
      </c>
      <c r="R9" s="59">
        <v>12.55</v>
      </c>
      <c r="S9" s="60">
        <v>162</v>
      </c>
      <c r="T9" s="186"/>
      <c r="U9" s="88">
        <f t="shared" si="5"/>
        <v>7</v>
      </c>
      <c r="V9" s="59"/>
      <c r="W9" s="60"/>
      <c r="X9" s="186"/>
      <c r="Y9" s="88">
        <f t="shared" si="6"/>
        <v>7</v>
      </c>
      <c r="Z9" s="59">
        <v>61.69</v>
      </c>
      <c r="AA9" s="60">
        <v>575</v>
      </c>
      <c r="AB9" s="186"/>
      <c r="AC9" s="88">
        <f t="shared" si="7"/>
        <v>7</v>
      </c>
      <c r="AD9" s="59">
        <v>13.1</v>
      </c>
      <c r="AE9" s="60">
        <v>80</v>
      </c>
      <c r="AF9" s="186"/>
      <c r="AG9" s="88">
        <f t="shared" si="8"/>
        <v>7</v>
      </c>
      <c r="AH9" s="59">
        <v>14.5</v>
      </c>
      <c r="AI9" s="60">
        <v>75</v>
      </c>
      <c r="AJ9" s="186"/>
      <c r="AK9" s="88">
        <f t="shared" si="9"/>
        <v>7</v>
      </c>
      <c r="AL9" s="59">
        <v>25.27</v>
      </c>
      <c r="AM9" s="60">
        <v>113</v>
      </c>
      <c r="AN9" s="186">
        <v>3.125E-2</v>
      </c>
      <c r="AO9" s="88">
        <f t="shared" si="10"/>
        <v>7</v>
      </c>
      <c r="AP9" s="59">
        <v>14.3</v>
      </c>
      <c r="AQ9" s="60">
        <v>50</v>
      </c>
      <c r="AR9" s="186"/>
      <c r="AS9" s="88">
        <f t="shared" si="11"/>
        <v>7</v>
      </c>
      <c r="AT9" s="59"/>
      <c r="AU9" s="60"/>
      <c r="AV9" s="186"/>
      <c r="AW9" s="73"/>
    </row>
    <row r="10" spans="1:49" s="54" customFormat="1" ht="11.25" x14ac:dyDescent="0.2">
      <c r="A10" s="86">
        <f t="shared" si="0"/>
        <v>8</v>
      </c>
      <c r="B10" s="59">
        <v>15</v>
      </c>
      <c r="C10" s="60">
        <v>10</v>
      </c>
      <c r="D10" s="186"/>
      <c r="E10" s="88">
        <f t="shared" si="1"/>
        <v>8</v>
      </c>
      <c r="F10" s="59">
        <v>11.200000000000001</v>
      </c>
      <c r="G10" s="60">
        <v>48</v>
      </c>
      <c r="H10" s="186"/>
      <c r="I10" s="88">
        <f t="shared" si="2"/>
        <v>8</v>
      </c>
      <c r="J10" s="59">
        <v>15.5</v>
      </c>
      <c r="K10" s="60">
        <v>100</v>
      </c>
      <c r="L10" s="186"/>
      <c r="M10" s="88">
        <f t="shared" si="3"/>
        <v>8</v>
      </c>
      <c r="N10" s="59">
        <v>45.680000000000007</v>
      </c>
      <c r="O10" s="60">
        <v>221</v>
      </c>
      <c r="P10" s="186"/>
      <c r="Q10" s="88">
        <f t="shared" si="4"/>
        <v>8</v>
      </c>
      <c r="R10" s="59">
        <v>10</v>
      </c>
      <c r="S10" s="60">
        <v>115</v>
      </c>
      <c r="T10" s="186"/>
      <c r="U10" s="88">
        <f t="shared" si="5"/>
        <v>8</v>
      </c>
      <c r="V10" s="59"/>
      <c r="W10" s="60"/>
      <c r="X10" s="186"/>
      <c r="Y10" s="88">
        <f t="shared" si="6"/>
        <v>8</v>
      </c>
      <c r="Z10" s="59">
        <v>16</v>
      </c>
      <c r="AA10" s="60">
        <v>50</v>
      </c>
      <c r="AB10" s="186">
        <v>4.1666666666666664E-2</v>
      </c>
      <c r="AC10" s="88">
        <f t="shared" si="7"/>
        <v>8</v>
      </c>
      <c r="AD10" s="59">
        <v>11.99</v>
      </c>
      <c r="AE10" s="60">
        <v>79</v>
      </c>
      <c r="AF10" s="186"/>
      <c r="AG10" s="88">
        <f t="shared" si="8"/>
        <v>8</v>
      </c>
      <c r="AH10" s="54">
        <v>53.019999999999996</v>
      </c>
      <c r="AI10" s="54">
        <v>586</v>
      </c>
      <c r="AJ10" s="186"/>
      <c r="AK10" s="88">
        <f t="shared" si="9"/>
        <v>8</v>
      </c>
      <c r="AL10" s="59">
        <v>10.5</v>
      </c>
      <c r="AM10" s="60">
        <v>240</v>
      </c>
      <c r="AN10" s="186"/>
      <c r="AO10" s="88">
        <f t="shared" si="10"/>
        <v>8</v>
      </c>
      <c r="AP10" s="59">
        <v>16.75</v>
      </c>
      <c r="AQ10" s="60">
        <v>40</v>
      </c>
      <c r="AR10" s="186"/>
      <c r="AS10" s="88">
        <f t="shared" si="11"/>
        <v>8</v>
      </c>
      <c r="AT10" s="59"/>
      <c r="AU10" s="60"/>
      <c r="AV10" s="186"/>
      <c r="AW10" s="73"/>
    </row>
    <row r="11" spans="1:49" s="54" customFormat="1" ht="11.25" x14ac:dyDescent="0.2">
      <c r="A11" s="86">
        <f t="shared" si="0"/>
        <v>9</v>
      </c>
      <c r="B11" s="59"/>
      <c r="C11" s="60"/>
      <c r="D11" s="186"/>
      <c r="E11" s="88">
        <f t="shared" si="1"/>
        <v>9</v>
      </c>
      <c r="F11" s="59"/>
      <c r="G11" s="60"/>
      <c r="H11" s="186"/>
      <c r="I11" s="88">
        <f t="shared" si="2"/>
        <v>9</v>
      </c>
      <c r="J11" s="59">
        <v>12.85</v>
      </c>
      <c r="K11" s="60">
        <v>52</v>
      </c>
      <c r="L11" s="186"/>
      <c r="M11" s="88">
        <f t="shared" si="3"/>
        <v>9</v>
      </c>
      <c r="N11" s="59">
        <v>29.6</v>
      </c>
      <c r="O11" s="60">
        <v>246</v>
      </c>
      <c r="P11" s="186"/>
      <c r="Q11" s="88">
        <f t="shared" si="4"/>
        <v>9</v>
      </c>
      <c r="R11" s="59"/>
      <c r="S11" s="60"/>
      <c r="T11" s="186"/>
      <c r="U11" s="88">
        <f t="shared" si="5"/>
        <v>9</v>
      </c>
      <c r="V11" s="59"/>
      <c r="W11" s="60"/>
      <c r="X11" s="186"/>
      <c r="Y11" s="88">
        <f t="shared" si="6"/>
        <v>9</v>
      </c>
      <c r="Z11" s="59">
        <v>16</v>
      </c>
      <c r="AA11" s="60">
        <v>65</v>
      </c>
      <c r="AB11" s="186"/>
      <c r="AC11" s="88">
        <f t="shared" si="7"/>
        <v>9</v>
      </c>
      <c r="AD11" s="59">
        <v>16</v>
      </c>
      <c r="AE11" s="60">
        <v>50</v>
      </c>
      <c r="AF11" s="186"/>
      <c r="AG11" s="88">
        <f t="shared" si="8"/>
        <v>9</v>
      </c>
      <c r="AH11" s="59">
        <v>51.95</v>
      </c>
      <c r="AI11" s="60">
        <v>595</v>
      </c>
      <c r="AJ11" s="186"/>
      <c r="AK11" s="88">
        <f t="shared" si="9"/>
        <v>9</v>
      </c>
      <c r="AL11" s="59">
        <v>14.5</v>
      </c>
      <c r="AM11" s="60">
        <v>40</v>
      </c>
      <c r="AN11" s="186"/>
      <c r="AO11" s="88">
        <f t="shared" si="10"/>
        <v>9</v>
      </c>
      <c r="AP11" s="59">
        <v>10.1</v>
      </c>
      <c r="AQ11" s="60">
        <v>306</v>
      </c>
      <c r="AR11" s="186"/>
      <c r="AS11" s="88">
        <f t="shared" si="11"/>
        <v>9</v>
      </c>
      <c r="AT11" s="59"/>
      <c r="AU11" s="60"/>
      <c r="AV11" s="186">
        <v>7.5694444444444439E-2</v>
      </c>
      <c r="AW11" s="73"/>
    </row>
    <row r="12" spans="1:49" s="54" customFormat="1" ht="11.25" x14ac:dyDescent="0.2">
      <c r="A12" s="86">
        <f t="shared" si="0"/>
        <v>10</v>
      </c>
      <c r="B12" s="59">
        <v>11</v>
      </c>
      <c r="C12" s="60">
        <v>50</v>
      </c>
      <c r="D12" s="186"/>
      <c r="E12" s="88">
        <f t="shared" si="1"/>
        <v>10</v>
      </c>
      <c r="F12" s="59"/>
      <c r="G12" s="60"/>
      <c r="H12" s="186"/>
      <c r="I12" s="88">
        <f t="shared" si="2"/>
        <v>10</v>
      </c>
      <c r="J12" s="59">
        <v>43.6</v>
      </c>
      <c r="K12" s="60">
        <v>448</v>
      </c>
      <c r="L12" s="186"/>
      <c r="M12" s="88">
        <f t="shared" si="3"/>
        <v>10</v>
      </c>
      <c r="N12" s="59">
        <v>13.26</v>
      </c>
      <c r="O12" s="60">
        <v>80</v>
      </c>
      <c r="P12" s="186"/>
      <c r="Q12" s="88">
        <f t="shared" si="4"/>
        <v>10</v>
      </c>
      <c r="R12" s="59">
        <v>14.74</v>
      </c>
      <c r="S12" s="60">
        <v>365</v>
      </c>
      <c r="T12" s="186"/>
      <c r="U12" s="88">
        <f t="shared" si="5"/>
        <v>10</v>
      </c>
      <c r="V12" s="59"/>
      <c r="W12" s="60"/>
      <c r="X12" s="186"/>
      <c r="Y12" s="88">
        <f t="shared" si="6"/>
        <v>10</v>
      </c>
      <c r="Z12" s="59">
        <v>17.190000000000001</v>
      </c>
      <c r="AA12" s="60">
        <v>345</v>
      </c>
      <c r="AB12" s="186"/>
      <c r="AC12" s="88">
        <f t="shared" si="7"/>
        <v>10</v>
      </c>
      <c r="AD12" s="59">
        <v>27.06</v>
      </c>
      <c r="AE12" s="60">
        <v>160</v>
      </c>
      <c r="AF12" s="186"/>
      <c r="AG12" s="88">
        <f t="shared" si="8"/>
        <v>10</v>
      </c>
      <c r="AH12" s="54">
        <v>14.309999999999999</v>
      </c>
      <c r="AI12" s="54">
        <v>101</v>
      </c>
      <c r="AJ12" s="186"/>
      <c r="AK12" s="88">
        <f t="shared" si="9"/>
        <v>10</v>
      </c>
      <c r="AL12" s="59">
        <v>24.66</v>
      </c>
      <c r="AM12" s="60">
        <v>25</v>
      </c>
      <c r="AN12" s="186"/>
      <c r="AO12" s="88">
        <f t="shared" si="10"/>
        <v>10</v>
      </c>
      <c r="AP12" s="59"/>
      <c r="AQ12" s="60"/>
      <c r="AR12" s="186">
        <v>8.5416666666666655E-2</v>
      </c>
      <c r="AS12" s="88">
        <f t="shared" si="11"/>
        <v>10</v>
      </c>
      <c r="AT12" s="59"/>
      <c r="AU12" s="60"/>
      <c r="AV12" s="186"/>
      <c r="AW12" s="73"/>
    </row>
    <row r="13" spans="1:49" s="54" customFormat="1" ht="11.25" x14ac:dyDescent="0.2">
      <c r="A13" s="86">
        <f t="shared" si="0"/>
        <v>11</v>
      </c>
      <c r="B13" s="59">
        <v>10.3</v>
      </c>
      <c r="C13" s="60">
        <v>60</v>
      </c>
      <c r="D13" s="186"/>
      <c r="E13" s="88">
        <f t="shared" si="1"/>
        <v>11</v>
      </c>
      <c r="F13" s="59">
        <v>18.3</v>
      </c>
      <c r="G13" s="60">
        <v>160</v>
      </c>
      <c r="H13" s="186">
        <v>4.1666666666666664E-2</v>
      </c>
      <c r="I13" s="88">
        <f t="shared" si="2"/>
        <v>11</v>
      </c>
      <c r="J13" s="59">
        <v>31.17</v>
      </c>
      <c r="K13" s="60">
        <v>60</v>
      </c>
      <c r="L13" s="186">
        <v>2.0833333333333332E-2</v>
      </c>
      <c r="M13" s="88">
        <f t="shared" si="3"/>
        <v>11</v>
      </c>
      <c r="N13" s="59"/>
      <c r="O13" s="60"/>
      <c r="P13" s="186"/>
      <c r="Q13" s="88">
        <f t="shared" si="4"/>
        <v>11</v>
      </c>
      <c r="R13" s="59">
        <v>16.8</v>
      </c>
      <c r="S13" s="60">
        <v>330</v>
      </c>
      <c r="T13" s="186"/>
      <c r="U13" s="88">
        <f t="shared" si="5"/>
        <v>11</v>
      </c>
      <c r="V13" s="59">
        <v>31.75</v>
      </c>
      <c r="W13" s="60">
        <v>194</v>
      </c>
      <c r="X13" s="186"/>
      <c r="Y13" s="88">
        <f t="shared" si="6"/>
        <v>11</v>
      </c>
      <c r="Z13" s="59">
        <v>18.27</v>
      </c>
      <c r="AA13" s="60">
        <v>95</v>
      </c>
      <c r="AB13" s="186"/>
      <c r="AC13" s="88">
        <f t="shared" si="7"/>
        <v>11</v>
      </c>
      <c r="AD13" s="59">
        <v>47.2</v>
      </c>
      <c r="AE13" s="60">
        <v>1305</v>
      </c>
      <c r="AF13" s="186">
        <v>3.125E-2</v>
      </c>
      <c r="AG13" s="88">
        <f t="shared" si="8"/>
        <v>11</v>
      </c>
      <c r="AH13" s="59">
        <v>13.55</v>
      </c>
      <c r="AI13" s="60">
        <v>40</v>
      </c>
      <c r="AJ13" s="186"/>
      <c r="AK13" s="88">
        <f t="shared" si="9"/>
        <v>11</v>
      </c>
      <c r="AL13" s="59">
        <v>10</v>
      </c>
      <c r="AM13" s="60">
        <v>30</v>
      </c>
      <c r="AN13" s="186"/>
      <c r="AO13" s="88">
        <f t="shared" si="10"/>
        <v>11</v>
      </c>
      <c r="AP13" s="59">
        <v>20.100000000000001</v>
      </c>
      <c r="AQ13" s="60">
        <v>10</v>
      </c>
      <c r="AR13" s="186"/>
      <c r="AS13" s="88">
        <f t="shared" si="11"/>
        <v>11</v>
      </c>
      <c r="AT13" s="59"/>
      <c r="AU13" s="60"/>
      <c r="AV13" s="186">
        <v>8.3333333333333332E-3</v>
      </c>
      <c r="AW13" s="73"/>
    </row>
    <row r="14" spans="1:49" s="54" customFormat="1" ht="11.25" x14ac:dyDescent="0.2">
      <c r="A14" s="86">
        <f t="shared" si="0"/>
        <v>12</v>
      </c>
      <c r="B14" s="59">
        <v>10.26</v>
      </c>
      <c r="C14" s="60">
        <v>70</v>
      </c>
      <c r="D14" s="186"/>
      <c r="E14" s="88">
        <f t="shared" si="1"/>
        <v>12</v>
      </c>
      <c r="F14" s="59">
        <v>26.16</v>
      </c>
      <c r="G14" s="60">
        <v>380</v>
      </c>
      <c r="H14" s="186">
        <v>2.0833333333333332E-2</v>
      </c>
      <c r="I14" s="88">
        <f t="shared" si="2"/>
        <v>12</v>
      </c>
      <c r="J14" s="59">
        <v>12.3</v>
      </c>
      <c r="K14" s="60">
        <v>65</v>
      </c>
      <c r="L14" s="186"/>
      <c r="M14" s="88">
        <f t="shared" si="3"/>
        <v>12</v>
      </c>
      <c r="N14" s="59">
        <v>15</v>
      </c>
      <c r="O14" s="60">
        <v>25</v>
      </c>
      <c r="P14" s="186"/>
      <c r="Q14" s="88">
        <f t="shared" si="4"/>
        <v>12</v>
      </c>
      <c r="R14" s="59">
        <v>26.950000000000003</v>
      </c>
      <c r="S14" s="60">
        <v>842</v>
      </c>
      <c r="T14" s="186">
        <v>6.25E-2</v>
      </c>
      <c r="U14" s="88">
        <f t="shared" si="5"/>
        <v>12</v>
      </c>
      <c r="V14" s="59">
        <v>28.29</v>
      </c>
      <c r="W14" s="60">
        <v>531</v>
      </c>
      <c r="X14" s="186"/>
      <c r="Y14" s="88">
        <f t="shared" si="6"/>
        <v>12</v>
      </c>
      <c r="Z14" s="59"/>
      <c r="AA14" s="60"/>
      <c r="AB14" s="186">
        <v>9.930555555555555E-2</v>
      </c>
      <c r="AC14" s="88">
        <f t="shared" si="7"/>
        <v>12</v>
      </c>
      <c r="AD14" s="59">
        <v>130.34</v>
      </c>
      <c r="AE14" s="91">
        <v>1420</v>
      </c>
      <c r="AF14" s="186"/>
      <c r="AG14" s="88">
        <f t="shared" si="8"/>
        <v>12</v>
      </c>
      <c r="AH14" s="59">
        <v>6.1400000000000006</v>
      </c>
      <c r="AI14" s="60">
        <v>33</v>
      </c>
      <c r="AJ14" s="186">
        <v>2.7083333333333334E-2</v>
      </c>
      <c r="AK14" s="88">
        <f t="shared" si="9"/>
        <v>12</v>
      </c>
      <c r="AL14" s="59"/>
      <c r="AM14" s="60"/>
      <c r="AN14" s="186"/>
      <c r="AO14" s="88">
        <f t="shared" si="10"/>
        <v>12</v>
      </c>
      <c r="AP14" s="59">
        <v>10.92</v>
      </c>
      <c r="AQ14" s="60">
        <v>312</v>
      </c>
      <c r="AR14" s="186"/>
      <c r="AS14" s="88">
        <f t="shared" si="11"/>
        <v>12</v>
      </c>
      <c r="AT14" s="59">
        <v>11.5</v>
      </c>
      <c r="AU14" s="60">
        <v>90</v>
      </c>
      <c r="AV14" s="186"/>
      <c r="AW14" s="73"/>
    </row>
    <row r="15" spans="1:49" s="54" customFormat="1" ht="11.25" x14ac:dyDescent="0.2">
      <c r="A15" s="86">
        <f t="shared" si="0"/>
        <v>13</v>
      </c>
      <c r="B15" s="59"/>
      <c r="C15" s="60"/>
      <c r="D15" s="186"/>
      <c r="E15" s="88">
        <f t="shared" si="1"/>
        <v>13</v>
      </c>
      <c r="F15" s="59"/>
      <c r="G15" s="60"/>
      <c r="H15" s="186"/>
      <c r="I15" s="88">
        <f t="shared" si="2"/>
        <v>13</v>
      </c>
      <c r="J15" s="59">
        <v>15.5</v>
      </c>
      <c r="K15" s="60">
        <v>100</v>
      </c>
      <c r="L15" s="186"/>
      <c r="M15" s="88">
        <f t="shared" si="3"/>
        <v>13</v>
      </c>
      <c r="N15" s="59">
        <v>19.3</v>
      </c>
      <c r="O15" s="60">
        <v>130</v>
      </c>
      <c r="P15" s="186"/>
      <c r="Q15" s="88">
        <f t="shared" si="4"/>
        <v>13</v>
      </c>
      <c r="R15" s="59">
        <v>35.269999999999996</v>
      </c>
      <c r="S15" s="60">
        <v>422</v>
      </c>
      <c r="T15" s="186">
        <v>3.4722222222222224E-2</v>
      </c>
      <c r="U15" s="88">
        <f t="shared" si="5"/>
        <v>13</v>
      </c>
      <c r="V15" s="59">
        <v>17.649999999999999</v>
      </c>
      <c r="W15" s="60">
        <v>191</v>
      </c>
      <c r="X15" s="186"/>
      <c r="Y15" s="88">
        <f t="shared" si="6"/>
        <v>13</v>
      </c>
      <c r="Z15" s="59">
        <v>20.420000000000002</v>
      </c>
      <c r="AA15" s="60">
        <v>66</v>
      </c>
      <c r="AB15" s="186"/>
      <c r="AC15" s="88">
        <f t="shared" si="7"/>
        <v>13</v>
      </c>
      <c r="AD15" s="59">
        <v>14.84</v>
      </c>
      <c r="AE15" s="60">
        <v>78</v>
      </c>
      <c r="AF15" s="186"/>
      <c r="AG15" s="88">
        <f t="shared" si="8"/>
        <v>13</v>
      </c>
      <c r="AH15" s="59">
        <v>6.1400000000000006</v>
      </c>
      <c r="AI15" s="60">
        <v>33</v>
      </c>
      <c r="AJ15" s="186"/>
      <c r="AK15" s="88">
        <f t="shared" si="9"/>
        <v>13</v>
      </c>
      <c r="AL15" s="59">
        <v>63.8</v>
      </c>
      <c r="AM15" s="60">
        <v>386</v>
      </c>
      <c r="AN15" s="186"/>
      <c r="AO15" s="88">
        <f t="shared" si="10"/>
        <v>13</v>
      </c>
      <c r="AP15" s="59">
        <v>20.9</v>
      </c>
      <c r="AQ15" s="60">
        <v>105</v>
      </c>
      <c r="AR15" s="186"/>
      <c r="AS15" s="88">
        <f t="shared" si="11"/>
        <v>13</v>
      </c>
      <c r="AT15" s="59">
        <v>13.8</v>
      </c>
      <c r="AU15" s="60">
        <v>115</v>
      </c>
      <c r="AV15" s="186"/>
      <c r="AW15" s="73"/>
    </row>
    <row r="16" spans="1:49" s="54" customFormat="1" ht="11.25" x14ac:dyDescent="0.2">
      <c r="A16" s="86">
        <f t="shared" si="0"/>
        <v>14</v>
      </c>
      <c r="B16" s="59">
        <v>12.56</v>
      </c>
      <c r="C16" s="60">
        <v>64</v>
      </c>
      <c r="D16" s="186"/>
      <c r="E16" s="88">
        <f t="shared" si="1"/>
        <v>14</v>
      </c>
      <c r="F16" s="59"/>
      <c r="G16" s="60"/>
      <c r="H16" s="186"/>
      <c r="I16" s="88">
        <f t="shared" si="2"/>
        <v>14</v>
      </c>
      <c r="J16" s="59">
        <v>13.57</v>
      </c>
      <c r="K16" s="60">
        <v>85</v>
      </c>
      <c r="L16" s="186"/>
      <c r="M16" s="88">
        <f t="shared" si="3"/>
        <v>14</v>
      </c>
      <c r="N16" s="59">
        <v>94.1</v>
      </c>
      <c r="O16" s="60">
        <v>1295</v>
      </c>
      <c r="P16" s="186"/>
      <c r="Q16" s="88">
        <f t="shared" si="4"/>
        <v>14</v>
      </c>
      <c r="R16" s="59">
        <v>14.91</v>
      </c>
      <c r="S16" s="54">
        <v>143</v>
      </c>
      <c r="T16" s="186"/>
      <c r="U16" s="88">
        <f t="shared" si="5"/>
        <v>14</v>
      </c>
      <c r="V16" s="59">
        <v>27.249999999999996</v>
      </c>
      <c r="W16" s="60">
        <v>187</v>
      </c>
      <c r="X16" s="186"/>
      <c r="Y16" s="88">
        <f t="shared" si="6"/>
        <v>14</v>
      </c>
      <c r="Z16" s="59">
        <v>38.799999999999997</v>
      </c>
      <c r="AA16" s="60">
        <v>510</v>
      </c>
      <c r="AB16" s="186"/>
      <c r="AC16" s="88">
        <f t="shared" si="7"/>
        <v>14</v>
      </c>
      <c r="AD16" s="59">
        <v>14.84</v>
      </c>
      <c r="AE16" s="60">
        <v>78</v>
      </c>
      <c r="AF16" s="186"/>
      <c r="AG16" s="88">
        <f t="shared" si="8"/>
        <v>14</v>
      </c>
      <c r="AH16" s="59">
        <v>14.7</v>
      </c>
      <c r="AI16" s="60">
        <v>70</v>
      </c>
      <c r="AJ16" s="186"/>
      <c r="AK16" s="88">
        <f t="shared" si="9"/>
        <v>14</v>
      </c>
      <c r="AL16" s="59">
        <v>35.6</v>
      </c>
      <c r="AM16" s="60">
        <v>513</v>
      </c>
      <c r="AN16" s="186"/>
      <c r="AO16" s="88">
        <f t="shared" si="10"/>
        <v>14</v>
      </c>
      <c r="AP16" s="59">
        <v>10.1</v>
      </c>
      <c r="AQ16" s="60">
        <v>306</v>
      </c>
      <c r="AR16" s="186"/>
      <c r="AS16" s="88">
        <f t="shared" si="11"/>
        <v>14</v>
      </c>
      <c r="AT16" s="59">
        <v>12.7</v>
      </c>
      <c r="AU16" s="60">
        <v>23</v>
      </c>
      <c r="AV16" s="186"/>
      <c r="AW16" s="73"/>
    </row>
    <row r="17" spans="1:49" s="54" customFormat="1" ht="11.25" x14ac:dyDescent="0.2">
      <c r="A17" s="86">
        <f t="shared" si="0"/>
        <v>15</v>
      </c>
      <c r="B17" s="59">
        <v>20.560000000000002</v>
      </c>
      <c r="C17" s="60">
        <v>130</v>
      </c>
      <c r="D17" s="186"/>
      <c r="E17" s="88">
        <f t="shared" si="1"/>
        <v>15</v>
      </c>
      <c r="F17" s="59">
        <v>13.6</v>
      </c>
      <c r="G17" s="60">
        <v>70</v>
      </c>
      <c r="H17" s="186"/>
      <c r="I17" s="88">
        <f t="shared" si="2"/>
        <v>15</v>
      </c>
      <c r="J17" s="59">
        <v>19.86</v>
      </c>
      <c r="K17" s="60">
        <v>130</v>
      </c>
      <c r="L17" s="186"/>
      <c r="M17" s="88">
        <f t="shared" si="3"/>
        <v>15</v>
      </c>
      <c r="N17" s="59">
        <v>22.740000000000002</v>
      </c>
      <c r="O17" s="60">
        <v>63</v>
      </c>
      <c r="P17" s="186"/>
      <c r="Q17" s="88">
        <f t="shared" si="4"/>
        <v>15</v>
      </c>
      <c r="R17" s="59">
        <v>20.39</v>
      </c>
      <c r="S17" s="54">
        <v>159</v>
      </c>
      <c r="T17" s="186"/>
      <c r="U17" s="88">
        <f t="shared" si="5"/>
        <v>15</v>
      </c>
      <c r="V17" s="59">
        <v>102.45</v>
      </c>
      <c r="W17" s="60">
        <v>1440</v>
      </c>
      <c r="X17" s="186"/>
      <c r="Y17" s="88">
        <f t="shared" si="6"/>
        <v>15</v>
      </c>
      <c r="Z17" s="59">
        <v>28</v>
      </c>
      <c r="AA17" s="60">
        <v>420</v>
      </c>
      <c r="AB17" s="186">
        <v>3.125E-2</v>
      </c>
      <c r="AC17" s="88">
        <f t="shared" si="7"/>
        <v>15</v>
      </c>
      <c r="AD17" s="59">
        <v>109.08</v>
      </c>
      <c r="AE17" s="60">
        <v>1503</v>
      </c>
      <c r="AF17" s="186"/>
      <c r="AG17" s="88">
        <f t="shared" si="8"/>
        <v>15</v>
      </c>
      <c r="AH17" s="59">
        <v>17</v>
      </c>
      <c r="AI17" s="60">
        <v>78</v>
      </c>
      <c r="AJ17" s="186"/>
      <c r="AK17" s="88">
        <f t="shared" si="9"/>
        <v>15</v>
      </c>
      <c r="AL17" s="59">
        <v>10</v>
      </c>
      <c r="AM17" s="60">
        <v>30</v>
      </c>
      <c r="AN17" s="186">
        <v>4.5138888888888888E-2</v>
      </c>
      <c r="AO17" s="88">
        <f t="shared" si="10"/>
        <v>15</v>
      </c>
      <c r="AP17" s="59">
        <v>25</v>
      </c>
      <c r="AQ17" s="60">
        <v>25</v>
      </c>
      <c r="AR17" s="186"/>
      <c r="AS17" s="88">
        <f t="shared" si="11"/>
        <v>15</v>
      </c>
      <c r="AT17" s="59"/>
      <c r="AU17" s="60"/>
      <c r="AV17" s="186">
        <v>2.361111111111111E-2</v>
      </c>
      <c r="AW17" s="73"/>
    </row>
    <row r="18" spans="1:49" s="54" customFormat="1" ht="11.25" x14ac:dyDescent="0.2">
      <c r="A18" s="86">
        <f t="shared" si="0"/>
        <v>16</v>
      </c>
      <c r="B18" s="59">
        <v>19.649999999999999</v>
      </c>
      <c r="C18" s="60">
        <v>281</v>
      </c>
      <c r="D18" s="186"/>
      <c r="E18" s="88">
        <f t="shared" si="1"/>
        <v>16</v>
      </c>
      <c r="F18" s="59">
        <v>20.399999999999999</v>
      </c>
      <c r="G18" s="60">
        <v>70</v>
      </c>
      <c r="H18" s="186"/>
      <c r="I18" s="88">
        <f t="shared" si="2"/>
        <v>16</v>
      </c>
      <c r="J18" s="59">
        <v>29.05</v>
      </c>
      <c r="K18" s="60">
        <v>190</v>
      </c>
      <c r="L18" s="186"/>
      <c r="M18" s="88">
        <f t="shared" si="3"/>
        <v>16</v>
      </c>
      <c r="N18" s="59">
        <v>14</v>
      </c>
      <c r="O18" s="60">
        <v>20</v>
      </c>
      <c r="P18" s="186"/>
      <c r="Q18" s="88">
        <f t="shared" si="4"/>
        <v>16</v>
      </c>
      <c r="R18" s="59">
        <v>8.26</v>
      </c>
      <c r="S18" s="60">
        <v>70</v>
      </c>
      <c r="T18" s="186"/>
      <c r="U18" s="88">
        <f t="shared" si="5"/>
        <v>16</v>
      </c>
      <c r="V18" s="59">
        <v>10.3</v>
      </c>
      <c r="W18" s="60">
        <v>60</v>
      </c>
      <c r="X18" s="186"/>
      <c r="Y18" s="88">
        <f t="shared" si="6"/>
        <v>16</v>
      </c>
      <c r="Z18" s="59">
        <v>14.8</v>
      </c>
      <c r="AA18" s="60">
        <v>50</v>
      </c>
      <c r="AB18" s="186"/>
      <c r="AC18" s="88">
        <f t="shared" si="7"/>
        <v>16</v>
      </c>
      <c r="AD18" s="59">
        <v>16.57</v>
      </c>
      <c r="AE18" s="60">
        <v>55</v>
      </c>
      <c r="AF18" s="186"/>
      <c r="AG18" s="88">
        <f t="shared" si="8"/>
        <v>16</v>
      </c>
      <c r="AH18" s="59"/>
      <c r="AI18" s="60"/>
      <c r="AJ18" s="186"/>
      <c r="AK18" s="88">
        <f t="shared" si="9"/>
        <v>16</v>
      </c>
      <c r="AL18" s="59">
        <v>17</v>
      </c>
      <c r="AM18" s="60">
        <v>78</v>
      </c>
      <c r="AN18" s="186"/>
      <c r="AO18" s="88">
        <f t="shared" si="10"/>
        <v>16</v>
      </c>
      <c r="AP18" s="59"/>
      <c r="AQ18" s="60"/>
      <c r="AR18" s="186"/>
      <c r="AS18" s="88">
        <f t="shared" si="11"/>
        <v>16</v>
      </c>
      <c r="AT18" s="59">
        <v>14.8</v>
      </c>
      <c r="AU18" s="60">
        <v>330</v>
      </c>
      <c r="AV18" s="186"/>
      <c r="AW18" s="73"/>
    </row>
    <row r="19" spans="1:49" s="54" customFormat="1" ht="11.25" x14ac:dyDescent="0.2">
      <c r="A19" s="86">
        <f t="shared" si="0"/>
        <v>17</v>
      </c>
      <c r="B19" s="59">
        <v>17.5</v>
      </c>
      <c r="C19" s="60">
        <v>69</v>
      </c>
      <c r="D19" s="186"/>
      <c r="E19" s="88">
        <f t="shared" si="1"/>
        <v>17</v>
      </c>
      <c r="F19" s="59">
        <v>12.4</v>
      </c>
      <c r="G19" s="60">
        <v>120</v>
      </c>
      <c r="H19" s="186"/>
      <c r="I19" s="88">
        <f t="shared" si="2"/>
        <v>17</v>
      </c>
      <c r="J19" s="59">
        <v>64.89</v>
      </c>
      <c r="K19" s="60">
        <v>1035</v>
      </c>
      <c r="L19" s="186"/>
      <c r="M19" s="88">
        <f t="shared" si="3"/>
        <v>17</v>
      </c>
      <c r="N19" s="59"/>
      <c r="O19" s="60"/>
      <c r="P19" s="186">
        <v>4.1666666666666664E-2</v>
      </c>
      <c r="Q19" s="88">
        <f t="shared" si="4"/>
        <v>17</v>
      </c>
      <c r="R19" s="59">
        <v>48.35</v>
      </c>
      <c r="S19" s="60">
        <v>549</v>
      </c>
      <c r="T19" s="186">
        <v>5.2083333333333336E-2</v>
      </c>
      <c r="U19" s="88">
        <f t="shared" si="5"/>
        <v>17</v>
      </c>
      <c r="V19" s="59">
        <v>80.739999999999995</v>
      </c>
      <c r="W19" s="60">
        <v>1300</v>
      </c>
      <c r="X19" s="186"/>
      <c r="Y19" s="88">
        <f t="shared" si="6"/>
        <v>17</v>
      </c>
      <c r="Z19" s="59">
        <v>9.4</v>
      </c>
      <c r="AA19" s="60">
        <v>240</v>
      </c>
      <c r="AB19" s="186"/>
      <c r="AC19" s="88">
        <f t="shared" si="7"/>
        <v>17</v>
      </c>
      <c r="AD19" s="59">
        <v>11.61</v>
      </c>
      <c r="AE19" s="60">
        <v>101</v>
      </c>
      <c r="AF19" s="186"/>
      <c r="AG19" s="88">
        <f t="shared" si="8"/>
        <v>17</v>
      </c>
      <c r="AH19" s="59"/>
      <c r="AI19" s="60"/>
      <c r="AJ19" s="186"/>
      <c r="AK19" s="88">
        <f t="shared" si="9"/>
        <v>17</v>
      </c>
      <c r="AL19" s="59">
        <v>14.8</v>
      </c>
      <c r="AM19" s="60">
        <v>330</v>
      </c>
      <c r="AN19" s="186"/>
      <c r="AO19" s="88">
        <f t="shared" si="10"/>
        <v>17</v>
      </c>
      <c r="AP19" s="59">
        <v>33</v>
      </c>
      <c r="AQ19" s="60">
        <v>130</v>
      </c>
      <c r="AR19" s="186"/>
      <c r="AS19" s="88">
        <f t="shared" si="11"/>
        <v>17</v>
      </c>
      <c r="AT19" s="59"/>
      <c r="AU19" s="60"/>
      <c r="AV19" s="186"/>
      <c r="AW19" s="73"/>
    </row>
    <row r="20" spans="1:49" s="54" customFormat="1" ht="11.25" x14ac:dyDescent="0.2">
      <c r="A20" s="86">
        <f t="shared" si="0"/>
        <v>18</v>
      </c>
      <c r="B20" s="59">
        <v>10.56</v>
      </c>
      <c r="C20" s="60">
        <v>62</v>
      </c>
      <c r="D20" s="186"/>
      <c r="E20" s="88">
        <f t="shared" si="1"/>
        <v>18</v>
      </c>
      <c r="F20" s="59">
        <v>33.959999999999994</v>
      </c>
      <c r="G20" s="60">
        <v>260</v>
      </c>
      <c r="H20" s="186"/>
      <c r="I20" s="88">
        <f t="shared" si="2"/>
        <v>18</v>
      </c>
      <c r="J20" s="59">
        <v>20.6</v>
      </c>
      <c r="K20" s="60">
        <v>509</v>
      </c>
      <c r="L20" s="186"/>
      <c r="M20" s="88">
        <f t="shared" si="3"/>
        <v>18</v>
      </c>
      <c r="N20" s="59">
        <v>8.26</v>
      </c>
      <c r="O20" s="60">
        <v>70</v>
      </c>
      <c r="P20" s="186"/>
      <c r="Q20" s="88">
        <f t="shared" si="4"/>
        <v>18</v>
      </c>
      <c r="R20" s="59">
        <v>11.2</v>
      </c>
      <c r="S20" s="60">
        <v>125</v>
      </c>
      <c r="T20" s="186"/>
      <c r="U20" s="88">
        <f t="shared" si="5"/>
        <v>18</v>
      </c>
      <c r="V20" s="59">
        <v>22.26</v>
      </c>
      <c r="W20" s="60">
        <v>242</v>
      </c>
      <c r="X20" s="186"/>
      <c r="Y20" s="88">
        <f t="shared" si="6"/>
        <v>18</v>
      </c>
      <c r="Z20" s="59">
        <v>10.5</v>
      </c>
      <c r="AA20" s="60">
        <v>240</v>
      </c>
      <c r="AB20" s="186"/>
      <c r="AC20" s="88">
        <f t="shared" si="7"/>
        <v>18</v>
      </c>
      <c r="AD20" s="59">
        <v>40.700000000000003</v>
      </c>
      <c r="AE20" s="60">
        <v>890</v>
      </c>
      <c r="AF20" s="186"/>
      <c r="AG20" s="88">
        <f t="shared" si="8"/>
        <v>18</v>
      </c>
      <c r="AH20" s="59"/>
      <c r="AI20" s="60"/>
      <c r="AJ20" s="186"/>
      <c r="AK20" s="88">
        <f t="shared" si="9"/>
        <v>18</v>
      </c>
      <c r="AL20" s="59">
        <v>16.7</v>
      </c>
      <c r="AM20" s="60">
        <v>394</v>
      </c>
      <c r="AN20" s="186"/>
      <c r="AO20" s="88">
        <f t="shared" si="10"/>
        <v>18</v>
      </c>
      <c r="AP20" s="59">
        <v>29.5</v>
      </c>
      <c r="AQ20" s="60">
        <v>541</v>
      </c>
      <c r="AR20" s="186"/>
      <c r="AS20" s="88">
        <f t="shared" si="11"/>
        <v>18</v>
      </c>
      <c r="AT20" s="59">
        <v>10.1</v>
      </c>
      <c r="AU20" s="60">
        <v>306</v>
      </c>
      <c r="AV20" s="186"/>
      <c r="AW20" s="73"/>
    </row>
    <row r="21" spans="1:49" s="54" customFormat="1" ht="11.25" x14ac:dyDescent="0.2">
      <c r="A21" s="86">
        <f t="shared" si="0"/>
        <v>19</v>
      </c>
      <c r="B21" s="59"/>
      <c r="C21" s="60"/>
      <c r="D21" s="186"/>
      <c r="E21" s="88">
        <f t="shared" si="1"/>
        <v>19</v>
      </c>
      <c r="F21" s="59">
        <v>23.17</v>
      </c>
      <c r="G21" s="60">
        <v>400</v>
      </c>
      <c r="H21" s="186">
        <v>8.3333333333333329E-2</v>
      </c>
      <c r="I21" s="88">
        <f t="shared" si="2"/>
        <v>19</v>
      </c>
      <c r="J21" s="59">
        <v>20.259999999999998</v>
      </c>
      <c r="K21" s="60">
        <v>130</v>
      </c>
      <c r="L21" s="186"/>
      <c r="M21" s="88">
        <f t="shared" si="3"/>
        <v>19</v>
      </c>
      <c r="N21" s="59">
        <v>13.96</v>
      </c>
      <c r="O21" s="60">
        <v>140</v>
      </c>
      <c r="P21" s="186"/>
      <c r="Q21" s="88">
        <f t="shared" si="4"/>
        <v>19</v>
      </c>
      <c r="R21" s="59">
        <v>72.760000000000005</v>
      </c>
      <c r="S21" s="60">
        <v>1215</v>
      </c>
      <c r="T21" s="186"/>
      <c r="U21" s="88">
        <f t="shared" si="5"/>
        <v>19</v>
      </c>
      <c r="V21" s="59">
        <v>24.92</v>
      </c>
      <c r="W21" s="60">
        <v>279</v>
      </c>
      <c r="X21" s="186"/>
      <c r="Y21" s="88">
        <f t="shared" si="6"/>
        <v>19</v>
      </c>
      <c r="Z21" s="59">
        <v>10.5</v>
      </c>
      <c r="AA21" s="60">
        <v>240</v>
      </c>
      <c r="AB21" s="186"/>
      <c r="AC21" s="88">
        <f t="shared" si="7"/>
        <v>19</v>
      </c>
      <c r="AD21" s="59">
        <v>85.07</v>
      </c>
      <c r="AE21" s="60">
        <v>1105</v>
      </c>
      <c r="AF21" s="186"/>
      <c r="AG21" s="88">
        <f t="shared" si="8"/>
        <v>19</v>
      </c>
      <c r="AH21" s="59"/>
      <c r="AI21" s="60"/>
      <c r="AJ21" s="186"/>
      <c r="AK21" s="88">
        <f t="shared" si="9"/>
        <v>19</v>
      </c>
      <c r="AL21" s="59">
        <v>19.600000000000001</v>
      </c>
      <c r="AM21" s="60">
        <v>440</v>
      </c>
      <c r="AN21" s="186"/>
      <c r="AO21" s="88">
        <f t="shared" si="10"/>
        <v>19</v>
      </c>
      <c r="AP21" s="59">
        <v>14.7</v>
      </c>
      <c r="AQ21" s="60">
        <v>45</v>
      </c>
      <c r="AR21" s="186"/>
      <c r="AS21" s="88">
        <f t="shared" si="11"/>
        <v>19</v>
      </c>
      <c r="AT21" s="59">
        <v>12.48</v>
      </c>
      <c r="AU21" s="60">
        <v>346</v>
      </c>
      <c r="AV21" s="186"/>
      <c r="AW21" s="73"/>
    </row>
    <row r="22" spans="1:49" s="54" customFormat="1" ht="11.25" x14ac:dyDescent="0.2">
      <c r="A22" s="86">
        <f t="shared" si="0"/>
        <v>20</v>
      </c>
      <c r="B22" s="59"/>
      <c r="C22" s="60"/>
      <c r="D22" s="186"/>
      <c r="E22" s="88">
        <f t="shared" si="1"/>
        <v>20</v>
      </c>
      <c r="F22" s="59">
        <v>10.8</v>
      </c>
      <c r="G22" s="60">
        <v>65</v>
      </c>
      <c r="H22" s="186"/>
      <c r="I22" s="88">
        <f t="shared" si="2"/>
        <v>20</v>
      </c>
      <c r="J22" s="59">
        <v>13.57</v>
      </c>
      <c r="K22" s="60">
        <v>85</v>
      </c>
      <c r="L22" s="186"/>
      <c r="M22" s="88">
        <f t="shared" si="3"/>
        <v>20</v>
      </c>
      <c r="N22" s="59">
        <v>16.560000000000002</v>
      </c>
      <c r="O22" s="60">
        <v>189</v>
      </c>
      <c r="P22" s="186"/>
      <c r="Q22" s="88">
        <f t="shared" si="4"/>
        <v>20</v>
      </c>
      <c r="R22" s="59">
        <v>104.83999999999999</v>
      </c>
      <c r="S22" s="60">
        <v>1539</v>
      </c>
      <c r="T22" s="186"/>
      <c r="U22" s="88">
        <f t="shared" si="5"/>
        <v>20</v>
      </c>
      <c r="V22" s="59">
        <v>37.46</v>
      </c>
      <c r="W22" s="60">
        <v>245</v>
      </c>
      <c r="X22" s="186"/>
      <c r="Y22" s="88">
        <f t="shared" si="6"/>
        <v>20</v>
      </c>
      <c r="Z22" s="59">
        <v>14.8</v>
      </c>
      <c r="AA22" s="60">
        <v>50</v>
      </c>
      <c r="AB22" s="186"/>
      <c r="AC22" s="88">
        <f t="shared" si="7"/>
        <v>20</v>
      </c>
      <c r="AD22" s="59">
        <v>16.8</v>
      </c>
      <c r="AE22" s="60">
        <v>50</v>
      </c>
      <c r="AF22" s="186"/>
      <c r="AG22" s="88">
        <f t="shared" si="8"/>
        <v>20</v>
      </c>
      <c r="AH22" s="59"/>
      <c r="AI22" s="60"/>
      <c r="AJ22" s="186"/>
      <c r="AK22" s="88">
        <f t="shared" si="9"/>
        <v>20</v>
      </c>
      <c r="AL22" s="59">
        <v>34.26</v>
      </c>
      <c r="AM22" s="60">
        <v>478</v>
      </c>
      <c r="AN22" s="186"/>
      <c r="AO22" s="88">
        <f t="shared" si="10"/>
        <v>20</v>
      </c>
      <c r="AP22" s="59">
        <v>15.8</v>
      </c>
      <c r="AQ22" s="60">
        <v>250</v>
      </c>
      <c r="AR22" s="186"/>
      <c r="AS22" s="88">
        <f t="shared" si="11"/>
        <v>20</v>
      </c>
      <c r="AT22" s="59">
        <v>10.1</v>
      </c>
      <c r="AU22" s="60">
        <v>306</v>
      </c>
      <c r="AV22" s="186"/>
      <c r="AW22" s="73"/>
    </row>
    <row r="23" spans="1:49" s="54" customFormat="1" ht="11.25" x14ac:dyDescent="0.2">
      <c r="A23" s="86">
        <f t="shared" si="0"/>
        <v>21</v>
      </c>
      <c r="B23" s="59">
        <v>8.26</v>
      </c>
      <c r="C23" s="60">
        <v>70</v>
      </c>
      <c r="D23" s="186"/>
      <c r="E23" s="88">
        <f t="shared" si="1"/>
        <v>21</v>
      </c>
      <c r="F23" s="59">
        <v>13.96</v>
      </c>
      <c r="G23" s="60">
        <v>140</v>
      </c>
      <c r="H23" s="186"/>
      <c r="I23" s="88">
        <f t="shared" si="2"/>
        <v>21</v>
      </c>
      <c r="J23" s="59"/>
      <c r="K23" s="60"/>
      <c r="L23" s="186"/>
      <c r="M23" s="88">
        <f t="shared" si="3"/>
        <v>21</v>
      </c>
      <c r="N23" s="59">
        <v>38.450000000000003</v>
      </c>
      <c r="O23" s="60">
        <v>379</v>
      </c>
      <c r="P23" s="186"/>
      <c r="Q23" s="88">
        <f t="shared" si="4"/>
        <v>21</v>
      </c>
      <c r="R23" s="59">
        <v>11.2</v>
      </c>
      <c r="S23" s="60">
        <v>125</v>
      </c>
      <c r="T23" s="186"/>
      <c r="U23" s="88">
        <f t="shared" si="5"/>
        <v>21</v>
      </c>
      <c r="V23" s="59">
        <v>31</v>
      </c>
      <c r="W23" s="60">
        <v>600</v>
      </c>
      <c r="X23" s="186"/>
      <c r="Y23" s="88">
        <f t="shared" si="6"/>
        <v>21</v>
      </c>
      <c r="Z23" s="59">
        <v>48.84</v>
      </c>
      <c r="AA23" s="60">
        <v>808</v>
      </c>
      <c r="AB23" s="186"/>
      <c r="AC23" s="88">
        <f t="shared" si="7"/>
        <v>21</v>
      </c>
      <c r="AD23" s="59">
        <v>24.66</v>
      </c>
      <c r="AE23" s="60">
        <v>25</v>
      </c>
      <c r="AF23" s="186"/>
      <c r="AG23" s="88">
        <f t="shared" si="8"/>
        <v>21</v>
      </c>
      <c r="AH23" s="59"/>
      <c r="AI23" s="60"/>
      <c r="AJ23" s="186"/>
      <c r="AK23" s="88">
        <f t="shared" si="9"/>
        <v>21</v>
      </c>
      <c r="AL23" s="59">
        <v>60.16</v>
      </c>
      <c r="AM23" s="60">
        <v>910</v>
      </c>
      <c r="AN23" s="186"/>
      <c r="AO23" s="88">
        <f t="shared" si="10"/>
        <v>21</v>
      </c>
      <c r="AP23" s="59">
        <v>20.18</v>
      </c>
      <c r="AQ23" s="60">
        <v>434</v>
      </c>
      <c r="AR23" s="186"/>
      <c r="AS23" s="88">
        <f t="shared" si="11"/>
        <v>21</v>
      </c>
      <c r="AT23" s="59"/>
      <c r="AU23" s="60"/>
      <c r="AV23" s="186"/>
      <c r="AW23" s="73"/>
    </row>
    <row r="24" spans="1:49" s="54" customFormat="1" ht="11.25" x14ac:dyDescent="0.2">
      <c r="A24" s="86">
        <f t="shared" si="0"/>
        <v>22</v>
      </c>
      <c r="B24" s="59">
        <v>29.52</v>
      </c>
      <c r="C24" s="60">
        <v>501</v>
      </c>
      <c r="D24" s="186"/>
      <c r="E24" s="88">
        <f t="shared" si="1"/>
        <v>22</v>
      </c>
      <c r="F24" s="59">
        <v>15.96</v>
      </c>
      <c r="G24" s="60">
        <v>145</v>
      </c>
      <c r="H24" s="186"/>
      <c r="I24" s="88">
        <f t="shared" si="2"/>
        <v>22</v>
      </c>
      <c r="J24" s="59">
        <v>15.8</v>
      </c>
      <c r="K24" s="60">
        <v>250</v>
      </c>
      <c r="L24" s="186"/>
      <c r="M24" s="88">
        <f t="shared" si="3"/>
        <v>22</v>
      </c>
      <c r="N24" s="59">
        <v>19.79</v>
      </c>
      <c r="O24" s="60">
        <v>361</v>
      </c>
      <c r="P24" s="186"/>
      <c r="Q24" s="88">
        <f t="shared" si="4"/>
        <v>22</v>
      </c>
      <c r="R24" s="59">
        <v>11.2</v>
      </c>
      <c r="S24" s="54">
        <v>125</v>
      </c>
      <c r="T24" s="186"/>
      <c r="U24" s="88">
        <f t="shared" si="5"/>
        <v>22</v>
      </c>
      <c r="V24" s="59">
        <v>39.650000000000006</v>
      </c>
      <c r="W24" s="60">
        <v>535</v>
      </c>
      <c r="X24" s="186"/>
      <c r="Y24" s="88">
        <f t="shared" si="6"/>
        <v>22</v>
      </c>
      <c r="Z24" s="59">
        <v>47.250000000000007</v>
      </c>
      <c r="AA24" s="60">
        <v>1305</v>
      </c>
      <c r="AB24" s="186"/>
      <c r="AC24" s="88">
        <f t="shared" si="7"/>
        <v>22</v>
      </c>
      <c r="AD24" s="59">
        <v>8</v>
      </c>
      <c r="AE24" s="60">
        <v>110</v>
      </c>
      <c r="AF24" s="186"/>
      <c r="AG24" s="88">
        <f t="shared" si="8"/>
        <v>22</v>
      </c>
      <c r="AH24" s="59"/>
      <c r="AI24" s="60"/>
      <c r="AJ24" s="186"/>
      <c r="AK24" s="88">
        <f t="shared" si="9"/>
        <v>22</v>
      </c>
      <c r="AL24" s="59">
        <v>27.06</v>
      </c>
      <c r="AM24" s="60">
        <v>160</v>
      </c>
      <c r="AN24" s="186"/>
      <c r="AO24" s="88">
        <f t="shared" si="10"/>
        <v>22</v>
      </c>
      <c r="AP24" s="59">
        <v>10.8</v>
      </c>
      <c r="AQ24" s="60">
        <v>5</v>
      </c>
      <c r="AR24" s="186"/>
      <c r="AS24" s="88">
        <f t="shared" si="11"/>
        <v>22</v>
      </c>
      <c r="AT24" s="59">
        <v>19</v>
      </c>
      <c r="AU24" s="60">
        <v>380</v>
      </c>
      <c r="AV24" s="186"/>
      <c r="AW24" s="73"/>
    </row>
    <row r="25" spans="1:49" s="54" customFormat="1" ht="11.25" x14ac:dyDescent="0.2">
      <c r="A25" s="86">
        <f t="shared" si="0"/>
        <v>23</v>
      </c>
      <c r="B25" s="59">
        <v>14</v>
      </c>
      <c r="C25" s="60">
        <v>20</v>
      </c>
      <c r="D25" s="186"/>
      <c r="E25" s="88">
        <f t="shared" si="1"/>
        <v>23</v>
      </c>
      <c r="F25" s="59">
        <v>27.4</v>
      </c>
      <c r="G25" s="60">
        <v>220</v>
      </c>
      <c r="H25" s="186"/>
      <c r="I25" s="88">
        <f t="shared" si="2"/>
        <v>23</v>
      </c>
      <c r="J25" s="59">
        <v>15.8</v>
      </c>
      <c r="K25" s="60">
        <v>250</v>
      </c>
      <c r="L25" s="186"/>
      <c r="M25" s="88">
        <f t="shared" si="3"/>
        <v>23</v>
      </c>
      <c r="N25" s="59">
        <v>18.399999999999999</v>
      </c>
      <c r="O25" s="60">
        <v>105</v>
      </c>
      <c r="P25" s="186"/>
      <c r="Q25" s="88">
        <f t="shared" si="4"/>
        <v>23</v>
      </c>
      <c r="R25" s="59">
        <v>11.2</v>
      </c>
      <c r="S25" s="60">
        <v>125</v>
      </c>
      <c r="T25" s="186"/>
      <c r="U25" s="88">
        <f t="shared" si="5"/>
        <v>23</v>
      </c>
      <c r="V25" s="59">
        <v>42.3</v>
      </c>
      <c r="W25" s="60">
        <v>558</v>
      </c>
      <c r="X25" s="186"/>
      <c r="Y25" s="88">
        <f t="shared" si="6"/>
        <v>23</v>
      </c>
      <c r="Z25" s="59">
        <v>20</v>
      </c>
      <c r="AA25" s="60">
        <v>120</v>
      </c>
      <c r="AB25" s="186"/>
      <c r="AC25" s="88">
        <f t="shared" si="7"/>
        <v>23</v>
      </c>
      <c r="AD25" s="59">
        <v>8</v>
      </c>
      <c r="AE25" s="60">
        <v>110</v>
      </c>
      <c r="AF25" s="186"/>
      <c r="AG25" s="88">
        <f t="shared" si="8"/>
        <v>23</v>
      </c>
      <c r="AH25" s="59"/>
      <c r="AI25" s="60"/>
      <c r="AJ25" s="186"/>
      <c r="AK25" s="88">
        <f t="shared" si="9"/>
        <v>23</v>
      </c>
      <c r="AL25" s="59">
        <v>12.75</v>
      </c>
      <c r="AM25" s="60">
        <v>245</v>
      </c>
      <c r="AN25" s="186"/>
      <c r="AO25" s="88">
        <f t="shared" si="10"/>
        <v>23</v>
      </c>
      <c r="AP25" s="59">
        <v>16.93</v>
      </c>
      <c r="AQ25" s="60">
        <v>340</v>
      </c>
      <c r="AR25" s="186"/>
      <c r="AS25" s="88">
        <f t="shared" si="11"/>
        <v>23</v>
      </c>
      <c r="AT25" s="59">
        <v>25.509999999999998</v>
      </c>
      <c r="AU25" s="60">
        <v>160</v>
      </c>
      <c r="AV25" s="186"/>
      <c r="AW25" s="73"/>
    </row>
    <row r="26" spans="1:49" s="54" customFormat="1" ht="11.25" x14ac:dyDescent="0.2">
      <c r="A26" s="86">
        <f t="shared" si="0"/>
        <v>24</v>
      </c>
      <c r="B26" s="59">
        <v>12.5</v>
      </c>
      <c r="C26" s="60">
        <v>130</v>
      </c>
      <c r="D26" s="186"/>
      <c r="E26" s="88">
        <f t="shared" si="1"/>
        <v>24</v>
      </c>
      <c r="F26" s="59">
        <v>19.399999999999999</v>
      </c>
      <c r="G26" s="60">
        <v>200</v>
      </c>
      <c r="H26" s="186"/>
      <c r="I26" s="88">
        <f t="shared" si="2"/>
        <v>24</v>
      </c>
      <c r="J26" s="59">
        <v>103.14</v>
      </c>
      <c r="K26" s="60">
        <v>1595</v>
      </c>
      <c r="L26" s="186"/>
      <c r="M26" s="88">
        <f t="shared" si="3"/>
        <v>24</v>
      </c>
      <c r="N26" s="59">
        <v>13.96</v>
      </c>
      <c r="O26" s="60">
        <v>140</v>
      </c>
      <c r="P26" s="186"/>
      <c r="Q26" s="88">
        <f t="shared" si="4"/>
        <v>24</v>
      </c>
      <c r="R26" s="59">
        <v>11.2</v>
      </c>
      <c r="S26" s="60">
        <v>125</v>
      </c>
      <c r="T26" s="186"/>
      <c r="U26" s="88">
        <f t="shared" si="5"/>
        <v>24</v>
      </c>
      <c r="V26" s="59">
        <v>14.059999999999999</v>
      </c>
      <c r="W26" s="60">
        <v>100</v>
      </c>
      <c r="X26" s="186"/>
      <c r="Y26" s="88">
        <f t="shared" si="6"/>
        <v>24</v>
      </c>
      <c r="Z26" s="59">
        <v>16.3</v>
      </c>
      <c r="AA26" s="60">
        <v>360</v>
      </c>
      <c r="AB26" s="186"/>
      <c r="AC26" s="88">
        <f t="shared" si="7"/>
        <v>24</v>
      </c>
      <c r="AD26" s="59">
        <v>8</v>
      </c>
      <c r="AE26" s="60">
        <v>110</v>
      </c>
      <c r="AF26" s="186"/>
      <c r="AG26" s="88">
        <f t="shared" si="8"/>
        <v>24</v>
      </c>
      <c r="AH26" s="59">
        <v>15.66</v>
      </c>
      <c r="AI26" s="60">
        <v>83</v>
      </c>
      <c r="AJ26" s="186"/>
      <c r="AK26" s="88">
        <f t="shared" si="9"/>
        <v>24</v>
      </c>
      <c r="AL26" s="59">
        <v>21.5</v>
      </c>
      <c r="AM26" s="60">
        <v>70</v>
      </c>
      <c r="AN26" s="186"/>
      <c r="AO26" s="88">
        <f t="shared" si="10"/>
        <v>24</v>
      </c>
      <c r="AP26" s="59">
        <v>42.86</v>
      </c>
      <c r="AQ26" s="60">
        <v>676</v>
      </c>
      <c r="AR26" s="186"/>
      <c r="AS26" s="88">
        <f t="shared" si="11"/>
        <v>24</v>
      </c>
      <c r="AT26" s="59">
        <v>53.66</v>
      </c>
      <c r="AU26" s="60">
        <v>568</v>
      </c>
      <c r="AV26" s="186"/>
      <c r="AW26" s="73"/>
    </row>
    <row r="27" spans="1:49" s="54" customFormat="1" ht="11.25" x14ac:dyDescent="0.2">
      <c r="A27" s="86">
        <f t="shared" si="0"/>
        <v>25</v>
      </c>
      <c r="B27" s="59">
        <v>10.6</v>
      </c>
      <c r="C27" s="60">
        <v>40</v>
      </c>
      <c r="D27" s="186"/>
      <c r="E27" s="88">
        <f t="shared" si="1"/>
        <v>25</v>
      </c>
      <c r="F27" s="59">
        <v>42.79</v>
      </c>
      <c r="G27" s="60">
        <v>683</v>
      </c>
      <c r="H27" s="186"/>
      <c r="I27" s="88">
        <f t="shared" si="2"/>
        <v>25</v>
      </c>
      <c r="J27" s="59">
        <v>15.8</v>
      </c>
      <c r="K27" s="60">
        <v>250</v>
      </c>
      <c r="L27" s="186"/>
      <c r="M27" s="88">
        <f t="shared" si="3"/>
        <v>25</v>
      </c>
      <c r="N27" s="59">
        <v>11.4</v>
      </c>
      <c r="O27" s="60">
        <v>40</v>
      </c>
      <c r="P27" s="186"/>
      <c r="Q27" s="88">
        <f t="shared" si="4"/>
        <v>25</v>
      </c>
      <c r="R27" s="59">
        <v>18.2</v>
      </c>
      <c r="S27" s="60">
        <v>355</v>
      </c>
      <c r="T27" s="186"/>
      <c r="U27" s="88">
        <f t="shared" si="5"/>
        <v>25</v>
      </c>
      <c r="V27" s="59">
        <v>49.32</v>
      </c>
      <c r="W27" s="60">
        <v>50</v>
      </c>
      <c r="X27" s="186"/>
      <c r="Y27" s="88">
        <f t="shared" si="6"/>
        <v>25</v>
      </c>
      <c r="Z27" s="59">
        <v>23.15</v>
      </c>
      <c r="AA27" s="60">
        <v>135</v>
      </c>
      <c r="AB27" s="186"/>
      <c r="AC27" s="88">
        <f t="shared" si="7"/>
        <v>25</v>
      </c>
      <c r="AD27" s="59">
        <v>40.6</v>
      </c>
      <c r="AE27" s="60">
        <v>880</v>
      </c>
      <c r="AF27" s="186"/>
      <c r="AG27" s="88">
        <f t="shared" si="8"/>
        <v>25</v>
      </c>
      <c r="AH27" s="59">
        <v>15.5</v>
      </c>
      <c r="AI27" s="60">
        <v>100</v>
      </c>
      <c r="AJ27" s="186"/>
      <c r="AK27" s="88">
        <f t="shared" si="9"/>
        <v>25</v>
      </c>
      <c r="AL27" s="59">
        <v>10.1</v>
      </c>
      <c r="AM27" s="60">
        <v>306</v>
      </c>
      <c r="AN27" s="186"/>
      <c r="AO27" s="88">
        <f t="shared" si="10"/>
        <v>25</v>
      </c>
      <c r="AP27" s="59">
        <v>22.6</v>
      </c>
      <c r="AQ27" s="60">
        <v>123</v>
      </c>
      <c r="AR27" s="186"/>
      <c r="AS27" s="88">
        <f t="shared" si="11"/>
        <v>25</v>
      </c>
      <c r="AT27" s="59">
        <v>24.9</v>
      </c>
      <c r="AU27" s="60">
        <v>140</v>
      </c>
      <c r="AV27" s="186"/>
      <c r="AW27" s="73"/>
    </row>
    <row r="28" spans="1:49" s="54" customFormat="1" ht="11.25" x14ac:dyDescent="0.2">
      <c r="A28" s="86">
        <f t="shared" si="0"/>
        <v>26</v>
      </c>
      <c r="B28" s="59">
        <v>13.81</v>
      </c>
      <c r="C28" s="60">
        <v>210</v>
      </c>
      <c r="D28" s="186"/>
      <c r="E28" s="88">
        <f t="shared" si="1"/>
        <v>26</v>
      </c>
      <c r="F28" s="59">
        <v>51.4</v>
      </c>
      <c r="G28" s="60">
        <v>498</v>
      </c>
      <c r="H28" s="186"/>
      <c r="I28" s="88">
        <f t="shared" si="2"/>
        <v>26</v>
      </c>
      <c r="J28" s="59">
        <v>19.87</v>
      </c>
      <c r="K28" s="60">
        <v>434</v>
      </c>
      <c r="L28" s="186"/>
      <c r="M28" s="88">
        <f t="shared" si="3"/>
        <v>26</v>
      </c>
      <c r="N28" s="59">
        <v>17.740000000000002</v>
      </c>
      <c r="O28" s="60">
        <v>93</v>
      </c>
      <c r="P28" s="186"/>
      <c r="Q28" s="88">
        <f t="shared" si="4"/>
        <v>26</v>
      </c>
      <c r="R28" s="59">
        <v>55.809999999999995</v>
      </c>
      <c r="S28" s="60">
        <v>1399</v>
      </c>
      <c r="T28" s="186"/>
      <c r="U28" s="88">
        <f t="shared" si="5"/>
        <v>26</v>
      </c>
      <c r="V28" s="59">
        <v>38.799999999999997</v>
      </c>
      <c r="W28" s="60">
        <v>510</v>
      </c>
      <c r="X28" s="186"/>
      <c r="Y28" s="88">
        <f t="shared" si="6"/>
        <v>26</v>
      </c>
      <c r="Z28" s="59">
        <v>25.085000000000001</v>
      </c>
      <c r="AA28" s="60">
        <v>26</v>
      </c>
      <c r="AB28" s="186"/>
      <c r="AC28" s="88">
        <f t="shared" si="7"/>
        <v>26</v>
      </c>
      <c r="AD28" s="59">
        <v>41.2</v>
      </c>
      <c r="AE28" s="60">
        <v>836</v>
      </c>
      <c r="AF28" s="186"/>
      <c r="AG28" s="88">
        <f t="shared" si="8"/>
        <v>26</v>
      </c>
      <c r="AH28" s="59">
        <v>17</v>
      </c>
      <c r="AI28" s="60">
        <v>78</v>
      </c>
      <c r="AJ28" s="186"/>
      <c r="AK28" s="88">
        <f t="shared" si="9"/>
        <v>26</v>
      </c>
      <c r="AL28" s="59"/>
      <c r="AM28" s="60"/>
      <c r="AN28" s="186">
        <v>1.5972222222222224E-2</v>
      </c>
      <c r="AO28" s="88">
        <f t="shared" si="10"/>
        <v>26</v>
      </c>
      <c r="AP28" s="59">
        <v>10</v>
      </c>
      <c r="AQ28" s="60">
        <v>63</v>
      </c>
      <c r="AR28" s="186"/>
      <c r="AS28" s="88">
        <f t="shared" si="11"/>
        <v>26</v>
      </c>
      <c r="AT28" s="59">
        <v>14.8</v>
      </c>
      <c r="AU28" s="60">
        <v>330</v>
      </c>
      <c r="AV28" s="186"/>
      <c r="AW28" s="73"/>
    </row>
    <row r="29" spans="1:49" s="54" customFormat="1" ht="11.25" x14ac:dyDescent="0.2">
      <c r="A29" s="86">
        <f t="shared" si="0"/>
        <v>27</v>
      </c>
      <c r="B29" s="59">
        <v>27.03</v>
      </c>
      <c r="C29" s="60">
        <v>338</v>
      </c>
      <c r="D29" s="186"/>
      <c r="E29" s="88">
        <f t="shared" si="1"/>
        <v>27</v>
      </c>
      <c r="F29" s="59">
        <v>13.96</v>
      </c>
      <c r="G29" s="60">
        <v>140</v>
      </c>
      <c r="H29" s="186"/>
      <c r="I29" s="88">
        <f t="shared" si="2"/>
        <v>27</v>
      </c>
      <c r="J29" s="59">
        <v>13.64</v>
      </c>
      <c r="K29" s="60">
        <v>10</v>
      </c>
      <c r="L29" s="186"/>
      <c r="M29" s="88">
        <f t="shared" si="3"/>
        <v>27</v>
      </c>
      <c r="N29" s="59">
        <v>17.600000000000001</v>
      </c>
      <c r="O29" s="60">
        <v>370</v>
      </c>
      <c r="P29" s="186"/>
      <c r="Q29" s="88">
        <f t="shared" si="4"/>
        <v>27</v>
      </c>
      <c r="R29" s="59">
        <v>56.95</v>
      </c>
      <c r="S29" s="60">
        <v>329</v>
      </c>
      <c r="T29" s="186"/>
      <c r="U29" s="88">
        <f t="shared" si="5"/>
        <v>27</v>
      </c>
      <c r="V29" s="59">
        <v>33.5</v>
      </c>
      <c r="W29" s="60">
        <v>153</v>
      </c>
      <c r="X29" s="186"/>
      <c r="Y29" s="88">
        <f t="shared" si="6"/>
        <v>27</v>
      </c>
      <c r="Z29" s="59">
        <v>29.25</v>
      </c>
      <c r="AA29" s="60">
        <v>190</v>
      </c>
      <c r="AB29" s="186"/>
      <c r="AC29" s="88">
        <f t="shared" si="7"/>
        <v>27</v>
      </c>
      <c r="AD29" s="59">
        <v>16.3</v>
      </c>
      <c r="AE29" s="60">
        <v>385</v>
      </c>
      <c r="AF29" s="186"/>
      <c r="AG29" s="88">
        <f t="shared" si="8"/>
        <v>27</v>
      </c>
      <c r="AH29" s="59">
        <v>16.45</v>
      </c>
      <c r="AI29" s="60">
        <v>168</v>
      </c>
      <c r="AJ29" s="186"/>
      <c r="AK29" s="88">
        <f t="shared" si="9"/>
        <v>27</v>
      </c>
      <c r="AL29" s="59"/>
      <c r="AM29" s="60"/>
      <c r="AN29" s="186"/>
      <c r="AO29" s="88">
        <f t="shared" si="10"/>
        <v>27</v>
      </c>
      <c r="AP29" s="59"/>
      <c r="AQ29" s="60"/>
      <c r="AR29" s="186"/>
      <c r="AS29" s="88">
        <f t="shared" si="11"/>
        <v>27</v>
      </c>
      <c r="AT29" s="59"/>
      <c r="AU29" s="60"/>
      <c r="AV29" s="186"/>
      <c r="AW29" s="73"/>
    </row>
    <row r="30" spans="1:49" s="54" customFormat="1" ht="11.25" x14ac:dyDescent="0.2">
      <c r="A30" s="86">
        <f t="shared" si="0"/>
        <v>28</v>
      </c>
      <c r="B30" s="59">
        <v>27.060000000000002</v>
      </c>
      <c r="C30" s="60">
        <v>159</v>
      </c>
      <c r="D30" s="186"/>
      <c r="E30" s="88">
        <f t="shared" si="1"/>
        <v>28</v>
      </c>
      <c r="F30" s="59">
        <v>10.3</v>
      </c>
      <c r="G30" s="60">
        <v>60</v>
      </c>
      <c r="H30" s="186"/>
      <c r="I30" s="88">
        <f t="shared" si="2"/>
        <v>28</v>
      </c>
      <c r="J30" s="59">
        <v>10</v>
      </c>
      <c r="K30" s="60">
        <v>20</v>
      </c>
      <c r="L30" s="186"/>
      <c r="M30" s="88">
        <f t="shared" si="3"/>
        <v>28</v>
      </c>
      <c r="N30" s="59">
        <v>82.9</v>
      </c>
      <c r="O30" s="60">
        <v>2230</v>
      </c>
      <c r="P30" s="186"/>
      <c r="Q30" s="88">
        <f t="shared" si="4"/>
        <v>28</v>
      </c>
      <c r="R30" s="59">
        <v>101.35</v>
      </c>
      <c r="S30" s="60">
        <v>1300</v>
      </c>
      <c r="T30" s="186"/>
      <c r="U30" s="88">
        <f t="shared" si="5"/>
        <v>28</v>
      </c>
      <c r="V30" s="59">
        <v>24.66</v>
      </c>
      <c r="W30" s="60">
        <v>25</v>
      </c>
      <c r="X30" s="186"/>
      <c r="Y30" s="88">
        <f t="shared" si="6"/>
        <v>28</v>
      </c>
      <c r="Z30" s="59">
        <v>16.850000000000001</v>
      </c>
      <c r="AA30" s="60">
        <v>536</v>
      </c>
      <c r="AB30" s="186">
        <v>4.1666666666666664E-2</v>
      </c>
      <c r="AC30" s="88">
        <f t="shared" si="7"/>
        <v>28</v>
      </c>
      <c r="AD30" s="59">
        <v>17.8</v>
      </c>
      <c r="AE30" s="60">
        <v>360</v>
      </c>
      <c r="AF30" s="186"/>
      <c r="AG30" s="88">
        <f t="shared" si="8"/>
        <v>28</v>
      </c>
      <c r="AH30" s="59">
        <v>16</v>
      </c>
      <c r="AI30" s="60">
        <v>220</v>
      </c>
      <c r="AJ30" s="186"/>
      <c r="AK30" s="88">
        <f t="shared" si="9"/>
        <v>28</v>
      </c>
      <c r="AL30" s="59">
        <v>41.04</v>
      </c>
      <c r="AM30" s="60">
        <v>448</v>
      </c>
      <c r="AN30" s="186"/>
      <c r="AO30" s="88">
        <f t="shared" si="10"/>
        <v>28</v>
      </c>
      <c r="AP30" s="59"/>
      <c r="AQ30" s="60"/>
      <c r="AR30" s="186"/>
      <c r="AS30" s="88">
        <f t="shared" si="11"/>
        <v>28</v>
      </c>
      <c r="AT30" s="59">
        <v>11.1</v>
      </c>
      <c r="AU30" s="60">
        <v>40</v>
      </c>
      <c r="AV30" s="186"/>
      <c r="AW30" s="73"/>
    </row>
    <row r="31" spans="1:49" s="54" customFormat="1" ht="11.25" x14ac:dyDescent="0.2">
      <c r="A31" s="86">
        <f t="shared" si="0"/>
        <v>29</v>
      </c>
      <c r="B31" s="59">
        <v>25.3</v>
      </c>
      <c r="C31" s="60">
        <v>316</v>
      </c>
      <c r="D31" s="186"/>
      <c r="E31" s="88">
        <v>29</v>
      </c>
      <c r="F31" s="59">
        <v>8.23</v>
      </c>
      <c r="G31" s="60">
        <v>45</v>
      </c>
      <c r="H31" s="186"/>
      <c r="I31" s="88">
        <f t="shared" si="2"/>
        <v>29</v>
      </c>
      <c r="J31" s="59">
        <v>12.8</v>
      </c>
      <c r="K31" s="60">
        <v>70</v>
      </c>
      <c r="L31" s="186"/>
      <c r="M31" s="88">
        <f t="shared" si="3"/>
        <v>29</v>
      </c>
      <c r="N31" s="59">
        <v>24.36</v>
      </c>
      <c r="O31" s="60">
        <v>380</v>
      </c>
      <c r="P31" s="186"/>
      <c r="Q31" s="88">
        <f t="shared" si="4"/>
        <v>29</v>
      </c>
      <c r="R31" s="59">
        <v>21.46</v>
      </c>
      <c r="S31" s="60">
        <v>86</v>
      </c>
      <c r="T31" s="186"/>
      <c r="U31" s="88">
        <f t="shared" si="5"/>
        <v>29</v>
      </c>
      <c r="V31" s="59">
        <v>55.28</v>
      </c>
      <c r="W31" s="60">
        <v>230</v>
      </c>
      <c r="X31" s="186"/>
      <c r="Y31" s="88">
        <f t="shared" si="6"/>
        <v>29</v>
      </c>
      <c r="Z31" s="59">
        <v>43.6</v>
      </c>
      <c r="AA31" s="60">
        <v>930</v>
      </c>
      <c r="AB31" s="186"/>
      <c r="AC31" s="88">
        <f t="shared" si="7"/>
        <v>29</v>
      </c>
      <c r="AD31" s="59">
        <v>16.3</v>
      </c>
      <c r="AE31" s="60">
        <v>385</v>
      </c>
      <c r="AF31" s="186"/>
      <c r="AG31" s="88">
        <f t="shared" si="8"/>
        <v>29</v>
      </c>
      <c r="AH31" s="59">
        <v>21</v>
      </c>
      <c r="AI31" s="60">
        <v>190</v>
      </c>
      <c r="AJ31" s="186">
        <v>4.1666666666666664E-2</v>
      </c>
      <c r="AK31" s="88">
        <f t="shared" si="9"/>
        <v>29</v>
      </c>
      <c r="AL31" s="59">
        <v>17</v>
      </c>
      <c r="AM31" s="60">
        <v>78</v>
      </c>
      <c r="AN31" s="186"/>
      <c r="AO31" s="88">
        <f t="shared" si="10"/>
        <v>29</v>
      </c>
      <c r="AP31" s="59">
        <v>13.1</v>
      </c>
      <c r="AQ31" s="60">
        <v>40</v>
      </c>
      <c r="AR31" s="186"/>
      <c r="AS31" s="88">
        <f t="shared" si="11"/>
        <v>29</v>
      </c>
      <c r="AT31" s="59">
        <v>43.7</v>
      </c>
      <c r="AU31" s="60">
        <v>505</v>
      </c>
      <c r="AV31" s="186"/>
      <c r="AW31" s="73"/>
    </row>
    <row r="32" spans="1:49" s="54" customFormat="1" ht="11.25" x14ac:dyDescent="0.2">
      <c r="A32" s="86">
        <f t="shared" si="0"/>
        <v>30</v>
      </c>
      <c r="B32" s="59">
        <v>17.05</v>
      </c>
      <c r="C32" s="60">
        <v>536</v>
      </c>
      <c r="D32" s="186"/>
      <c r="E32" s="88"/>
      <c r="F32" s="59"/>
      <c r="G32" s="60"/>
      <c r="H32" s="186"/>
      <c r="I32" s="88">
        <f t="shared" si="2"/>
        <v>30</v>
      </c>
      <c r="J32" s="59">
        <v>15.32</v>
      </c>
      <c r="K32" s="60">
        <v>98</v>
      </c>
      <c r="L32" s="186"/>
      <c r="M32" s="88">
        <f t="shared" si="3"/>
        <v>30</v>
      </c>
      <c r="N32" s="59">
        <v>16.850000000000001</v>
      </c>
      <c r="O32" s="60">
        <v>536</v>
      </c>
      <c r="P32" s="186"/>
      <c r="Q32" s="88">
        <f t="shared" si="4"/>
        <v>30</v>
      </c>
      <c r="R32" s="59">
        <v>9.0399999999999991</v>
      </c>
      <c r="S32" s="60">
        <v>48</v>
      </c>
      <c r="T32" s="186"/>
      <c r="U32" s="88">
        <f t="shared" si="5"/>
        <v>30</v>
      </c>
      <c r="V32" s="59">
        <v>49.93</v>
      </c>
      <c r="W32" s="60">
        <v>303</v>
      </c>
      <c r="X32" s="186"/>
      <c r="Y32" s="88">
        <f t="shared" si="6"/>
        <v>30</v>
      </c>
      <c r="Z32" s="59">
        <v>24.099999999999998</v>
      </c>
      <c r="AA32" s="60">
        <v>370</v>
      </c>
      <c r="AB32" s="186"/>
      <c r="AC32" s="88">
        <f t="shared" si="7"/>
        <v>30</v>
      </c>
      <c r="AD32" s="59">
        <v>14.8</v>
      </c>
      <c r="AE32" s="60">
        <v>330</v>
      </c>
      <c r="AF32" s="186"/>
      <c r="AG32" s="88">
        <f t="shared" si="8"/>
        <v>30</v>
      </c>
      <c r="AH32" s="59">
        <v>55.660000000000004</v>
      </c>
      <c r="AI32" s="60">
        <v>978</v>
      </c>
      <c r="AJ32" s="186"/>
      <c r="AK32" s="88">
        <f t="shared" si="9"/>
        <v>30</v>
      </c>
      <c r="AL32" s="59">
        <v>17.3</v>
      </c>
      <c r="AM32" s="60">
        <v>60</v>
      </c>
      <c r="AN32" s="186"/>
      <c r="AO32" s="88">
        <f t="shared" si="10"/>
        <v>30</v>
      </c>
      <c r="AP32" s="59">
        <v>12.83</v>
      </c>
      <c r="AQ32" s="60">
        <v>80</v>
      </c>
      <c r="AR32" s="186"/>
      <c r="AS32" s="88">
        <f t="shared" si="11"/>
        <v>30</v>
      </c>
      <c r="AT32" s="59">
        <v>20.700000000000003</v>
      </c>
      <c r="AU32" s="60">
        <v>334</v>
      </c>
      <c r="AV32" s="186">
        <v>3.5416666666666666E-2</v>
      </c>
      <c r="AW32" s="73"/>
    </row>
    <row r="33" spans="1:49" s="54" customFormat="1" ht="11.25" x14ac:dyDescent="0.2">
      <c r="A33" s="87">
        <f t="shared" si="0"/>
        <v>31</v>
      </c>
      <c r="B33" s="68">
        <v>10.6</v>
      </c>
      <c r="C33" s="69">
        <v>40</v>
      </c>
      <c r="D33" s="187"/>
      <c r="E33" s="89"/>
      <c r="F33" s="68"/>
      <c r="G33" s="69"/>
      <c r="H33" s="187"/>
      <c r="I33" s="89">
        <f t="shared" si="2"/>
        <v>31</v>
      </c>
      <c r="J33" s="68">
        <v>18.190000000000001</v>
      </c>
      <c r="K33" s="69">
        <v>106</v>
      </c>
      <c r="L33" s="187"/>
      <c r="M33" s="89"/>
      <c r="N33" s="68"/>
      <c r="O33" s="69"/>
      <c r="P33" s="187"/>
      <c r="Q33" s="89">
        <f t="shared" si="4"/>
        <v>31</v>
      </c>
      <c r="R33" s="68">
        <v>10.3</v>
      </c>
      <c r="S33" s="69">
        <v>60</v>
      </c>
      <c r="T33" s="187"/>
      <c r="U33" s="89"/>
      <c r="V33" s="68"/>
      <c r="W33" s="69"/>
      <c r="X33" s="187"/>
      <c r="Y33" s="89">
        <f t="shared" si="6"/>
        <v>31</v>
      </c>
      <c r="Z33" s="68">
        <v>20.36</v>
      </c>
      <c r="AA33" s="69">
        <v>120</v>
      </c>
      <c r="AB33" s="187"/>
      <c r="AC33" s="89">
        <f t="shared" si="7"/>
        <v>31</v>
      </c>
      <c r="AD33" s="68">
        <v>31.57</v>
      </c>
      <c r="AE33" s="69">
        <v>276</v>
      </c>
      <c r="AF33" s="187"/>
      <c r="AG33" s="89"/>
      <c r="AH33" s="68"/>
      <c r="AI33" s="69"/>
      <c r="AJ33" s="187"/>
      <c r="AK33" s="89">
        <f t="shared" si="9"/>
        <v>31</v>
      </c>
      <c r="AL33" s="68">
        <v>20.6</v>
      </c>
      <c r="AM33" s="69">
        <v>90</v>
      </c>
      <c r="AN33" s="187"/>
      <c r="AO33" s="89"/>
      <c r="AP33" s="68"/>
      <c r="AQ33" s="69"/>
      <c r="AR33" s="187"/>
      <c r="AS33" s="89">
        <f t="shared" si="11"/>
        <v>31</v>
      </c>
      <c r="AT33" s="68">
        <v>10.1</v>
      </c>
      <c r="AU33" s="69">
        <v>306</v>
      </c>
      <c r="AV33" s="187"/>
      <c r="AW33" s="73"/>
    </row>
    <row r="34" spans="1:49" s="54" customFormat="1" ht="11.25" x14ac:dyDescent="0.2">
      <c r="A34" s="50" t="s">
        <v>95</v>
      </c>
      <c r="B34" s="52">
        <f>SUM(B3:B33)</f>
        <v>427.17000000000013</v>
      </c>
      <c r="C34" s="53">
        <f>SUM(C3:C33)</f>
        <v>3700</v>
      </c>
      <c r="D34" s="92">
        <f>(SUM(D3:D33)/D39)*C39</f>
        <v>24</v>
      </c>
      <c r="E34" s="71"/>
      <c r="F34" s="52">
        <f>SUM(F3:F33)</f>
        <v>484.75999999999993</v>
      </c>
      <c r="G34" s="53">
        <f>SUM(G3:G33)</f>
        <v>4066</v>
      </c>
      <c r="H34" s="92">
        <f>(SUM(H3:H33)/D39)*C39</f>
        <v>98.000000000000014</v>
      </c>
      <c r="I34" s="71"/>
      <c r="J34" s="52">
        <f>SUM(J3:J33)</f>
        <v>630.3900000000001</v>
      </c>
      <c r="K34" s="53">
        <f>SUM(K3:K33)</f>
        <v>6414</v>
      </c>
      <c r="L34" s="92">
        <f>(SUM(L3:L33)/D39)*C39</f>
        <v>12</v>
      </c>
      <c r="M34" s="90"/>
      <c r="N34" s="52">
        <f>SUM(N3:N33)</f>
        <v>698.91</v>
      </c>
      <c r="O34" s="53">
        <f>SUM(O3:O33)</f>
        <v>8314</v>
      </c>
      <c r="P34" s="92">
        <f>(SUM(P3:P33)/D39)*C39</f>
        <v>48</v>
      </c>
      <c r="Q34" s="71"/>
      <c r="R34" s="52">
        <f>SUM(R3:R33)</f>
        <v>894.25500000000022</v>
      </c>
      <c r="S34" s="53">
        <f>SUM(S3:S33)</f>
        <v>12351</v>
      </c>
      <c r="T34" s="92">
        <f>(SUM(T3:T33)/D39)*C39</f>
        <v>110.00000000000001</v>
      </c>
      <c r="U34" s="71"/>
      <c r="V34" s="52">
        <f>SUM(V3:V33)</f>
        <v>867.75999999999976</v>
      </c>
      <c r="W34" s="53">
        <f>SUM(W3:W33)</f>
        <v>9005</v>
      </c>
      <c r="X34" s="92">
        <f>(SUM(X3:X33)/D39)*C39</f>
        <v>18</v>
      </c>
      <c r="Y34" s="71"/>
      <c r="Z34" s="52">
        <f>SUM(Z3:Z33)</f>
        <v>855.72</v>
      </c>
      <c r="AA34" s="53">
        <f>SUM(AA3:AA33)</f>
        <v>10290</v>
      </c>
      <c r="AB34" s="92">
        <f>(SUM(AB3:AB33)/D39)*C39</f>
        <v>175.60000000000002</v>
      </c>
      <c r="AC34" s="71"/>
      <c r="AD34" s="52">
        <f>SUM(AD3:AD33)</f>
        <v>1016.9499999999999</v>
      </c>
      <c r="AE34" s="53">
        <f>SUM(AE3:AE33)</f>
        <v>13461</v>
      </c>
      <c r="AF34" s="92">
        <f>(SUM(AF3:AF33)/D39)*C39</f>
        <v>42.399999999999991</v>
      </c>
      <c r="AG34" s="71"/>
      <c r="AH34" s="52">
        <f>SUM(AH3:AH33)</f>
        <v>418.06</v>
      </c>
      <c r="AI34" s="53">
        <f>SUM(AI3:AI33)</f>
        <v>4635</v>
      </c>
      <c r="AJ34" s="92">
        <f>(SUM(AJ3:AJ33)/D39)*C39</f>
        <v>66.000000000000014</v>
      </c>
      <c r="AK34" s="71"/>
      <c r="AL34" s="52">
        <f>SUM(AL3:AL33)</f>
        <v>650.08999999999992</v>
      </c>
      <c r="AM34" s="53">
        <f>SUM(AM3:AM33)</f>
        <v>7393</v>
      </c>
      <c r="AN34" s="92">
        <f>(SUM(AN3:AN33)/D39)*C39</f>
        <v>53.2</v>
      </c>
      <c r="AO34" s="71"/>
      <c r="AP34" s="52">
        <f>SUM(AP3:AP33)</f>
        <v>468.68000000000006</v>
      </c>
      <c r="AQ34" s="53">
        <f>SUM(AQ3:AQ33)</f>
        <v>4556</v>
      </c>
      <c r="AR34" s="92">
        <f>(SUM(AR3:AR33)/D39)*C39</f>
        <v>83.6</v>
      </c>
      <c r="AS34" s="71"/>
      <c r="AT34" s="52">
        <f>SUM(AT3:AT33)</f>
        <v>394.93</v>
      </c>
      <c r="AU34" s="53">
        <f>SUM(AU3:AU33)</f>
        <v>5078</v>
      </c>
      <c r="AV34" s="92">
        <f>(SUM(AV3:AV33)/D39)*C39</f>
        <v>168.39999999999998</v>
      </c>
      <c r="AW34" s="73"/>
    </row>
    <row r="35" spans="1:49" s="57" customFormat="1" ht="11.25" x14ac:dyDescent="0.2">
      <c r="A35" s="51" t="s">
        <v>96</v>
      </c>
      <c r="B35" s="55">
        <f>B34</f>
        <v>427.17000000000013</v>
      </c>
      <c r="C35" s="56">
        <f>C34</f>
        <v>3700</v>
      </c>
      <c r="D35" s="93">
        <f>D34</f>
        <v>24</v>
      </c>
      <c r="E35" s="72"/>
      <c r="F35" s="55">
        <f>F34+B35</f>
        <v>911.93000000000006</v>
      </c>
      <c r="G35" s="56">
        <f>G34+C35</f>
        <v>7766</v>
      </c>
      <c r="H35" s="93">
        <f>H34+D35</f>
        <v>122.00000000000001</v>
      </c>
      <c r="I35" s="72"/>
      <c r="J35" s="55">
        <f>J34+F35</f>
        <v>1542.3200000000002</v>
      </c>
      <c r="K35" s="56">
        <f>K34+G35</f>
        <v>14180</v>
      </c>
      <c r="L35" s="93">
        <f>L34+H35</f>
        <v>134</v>
      </c>
      <c r="M35" s="72"/>
      <c r="N35" s="55">
        <f>N34+J35</f>
        <v>2241.23</v>
      </c>
      <c r="O35" s="56">
        <f>O34+K35</f>
        <v>22494</v>
      </c>
      <c r="P35" s="93">
        <f>P34+L35</f>
        <v>182</v>
      </c>
      <c r="Q35" s="72"/>
      <c r="R35" s="55">
        <f>R34+N35</f>
        <v>3135.4850000000001</v>
      </c>
      <c r="S35" s="56">
        <f>S34+O35</f>
        <v>34845</v>
      </c>
      <c r="T35" s="93">
        <f>T34+P35</f>
        <v>292</v>
      </c>
      <c r="U35" s="72"/>
      <c r="V35" s="55">
        <f>V34+R35</f>
        <v>4003.2449999999999</v>
      </c>
      <c r="W35" s="56">
        <f>W34+S35</f>
        <v>43850</v>
      </c>
      <c r="X35" s="93">
        <f>X34+T35</f>
        <v>310</v>
      </c>
      <c r="Y35" s="72"/>
      <c r="Z35" s="55">
        <f>Z34+V35</f>
        <v>4858.9650000000001</v>
      </c>
      <c r="AA35" s="56">
        <f>AA34+W35</f>
        <v>54140</v>
      </c>
      <c r="AB35" s="93">
        <f>AB34+X35</f>
        <v>485.6</v>
      </c>
      <c r="AC35" s="72"/>
      <c r="AD35" s="55">
        <f>AD34+Z35</f>
        <v>5875.915</v>
      </c>
      <c r="AE35" s="56">
        <f>AE34+AA35</f>
        <v>67601</v>
      </c>
      <c r="AF35" s="93">
        <f>AF34+AB35</f>
        <v>528</v>
      </c>
      <c r="AG35" s="72"/>
      <c r="AH35" s="55">
        <f>AH34+AD35</f>
        <v>6293.9750000000004</v>
      </c>
      <c r="AI35" s="56">
        <f>AI34+AE35</f>
        <v>72236</v>
      </c>
      <c r="AJ35" s="93">
        <f>AJ34+AF35</f>
        <v>594</v>
      </c>
      <c r="AK35" s="72"/>
      <c r="AL35" s="55">
        <f>AL34+AH35</f>
        <v>6944.0650000000005</v>
      </c>
      <c r="AM35" s="56">
        <f>AM34+AI35</f>
        <v>79629</v>
      </c>
      <c r="AN35" s="93">
        <f>AN34+AJ35</f>
        <v>647.20000000000005</v>
      </c>
      <c r="AO35" s="72"/>
      <c r="AP35" s="55">
        <f>AP34+AL35</f>
        <v>7412.7450000000008</v>
      </c>
      <c r="AQ35" s="56">
        <f>AQ34+AM35</f>
        <v>84185</v>
      </c>
      <c r="AR35" s="93">
        <f>AR34+AN35</f>
        <v>730.80000000000007</v>
      </c>
      <c r="AS35" s="72"/>
      <c r="AT35" s="55">
        <f>AT34+AP35</f>
        <v>7807.6750000000011</v>
      </c>
      <c r="AU35" s="56">
        <f>AU34+AQ35</f>
        <v>89263</v>
      </c>
      <c r="AV35" s="93">
        <f>AV34+AR35</f>
        <v>899.2</v>
      </c>
      <c r="AW35" s="106"/>
    </row>
    <row r="36" spans="1:49" s="54" customFormat="1" ht="11.25" x14ac:dyDescent="0.2">
      <c r="A36" s="54" t="s">
        <v>152</v>
      </c>
      <c r="B36" s="59">
        <f>MAX(B3:B33)</f>
        <v>29.52</v>
      </c>
      <c r="C36" s="60">
        <f>MAX(C3:C33)</f>
        <v>536</v>
      </c>
      <c r="D36" s="188">
        <f>MAX(D3:D33)</f>
        <v>4.1666666666666664E-2</v>
      </c>
      <c r="E36" s="73"/>
      <c r="F36" s="59">
        <f>MAX(F3:F33)</f>
        <v>51.4</v>
      </c>
      <c r="G36" s="60">
        <f>MAX(G3:G33)</f>
        <v>683</v>
      </c>
      <c r="H36" s="188">
        <f>MAX(H3:H33)</f>
        <v>8.3333333333333329E-2</v>
      </c>
      <c r="I36" s="73"/>
      <c r="J36" s="378">
        <f>MAX(J3:J33)</f>
        <v>103.14</v>
      </c>
      <c r="K36" s="60">
        <f>MAX(K3:K33)</f>
        <v>1595</v>
      </c>
      <c r="L36" s="188">
        <f>MAX(L3:L33)</f>
        <v>2.0833333333333332E-2</v>
      </c>
      <c r="M36" s="73"/>
      <c r="N36" s="59">
        <f>MAX(N3:N33)</f>
        <v>94.1</v>
      </c>
      <c r="O36" s="377">
        <f>MAX(O3:O33)</f>
        <v>2230</v>
      </c>
      <c r="P36" s="188">
        <f>MAX(P3:P33)</f>
        <v>4.1666666666666664E-2</v>
      </c>
      <c r="Q36" s="73"/>
      <c r="R36" s="59">
        <f>MAX(R3:R33)</f>
        <v>104.83999999999999</v>
      </c>
      <c r="S36" s="60">
        <f>MAX(S3:S33)</f>
        <v>1539</v>
      </c>
      <c r="T36" s="188">
        <f>MAX(T3:T33)</f>
        <v>6.25E-2</v>
      </c>
      <c r="U36" s="73"/>
      <c r="V36" s="59">
        <f>MAX(V3:V33)</f>
        <v>102.45</v>
      </c>
      <c r="W36" s="60">
        <f>MAX(W3:W33)</f>
        <v>1440</v>
      </c>
      <c r="X36" s="188">
        <f>MAX(X3:X33)</f>
        <v>3.125E-2</v>
      </c>
      <c r="Y36" s="73"/>
      <c r="Z36" s="59">
        <f>MAX(Z3:Z33)</f>
        <v>66.209999999999994</v>
      </c>
      <c r="AA36" s="60">
        <f>MAX(AA3:AA33)</f>
        <v>1305</v>
      </c>
      <c r="AB36" s="188">
        <f>MAX(AB3:AB33)</f>
        <v>9.930555555555555E-2</v>
      </c>
      <c r="AC36" s="73"/>
      <c r="AD36" s="378">
        <f>MAX(AD3:AD33)</f>
        <v>130.34</v>
      </c>
      <c r="AE36" s="377">
        <f>MAX(AE3:AE33)</f>
        <v>1503</v>
      </c>
      <c r="AF36" s="188">
        <f>MAX(AF3:AF33)</f>
        <v>4.2361111111111106E-2</v>
      </c>
      <c r="AG36" s="73"/>
      <c r="AH36" s="59">
        <f>MAX(AH3:AH33)</f>
        <v>55.660000000000004</v>
      </c>
      <c r="AI36" s="60">
        <f>MAX(AI3:AI33)</f>
        <v>978</v>
      </c>
      <c r="AJ36" s="188">
        <f>MAX(AJ3:AJ33)</f>
        <v>4.5833333333333337E-2</v>
      </c>
      <c r="AK36" s="73"/>
      <c r="AL36" s="59">
        <f>MAX(AL3:AL33)</f>
        <v>63.8</v>
      </c>
      <c r="AM36" s="60">
        <f>MAX(AM3:AM33)</f>
        <v>910</v>
      </c>
      <c r="AN36" s="188">
        <f>MAX(AN3:AN33)</f>
        <v>4.5138888888888888E-2</v>
      </c>
      <c r="AO36" s="73"/>
      <c r="AP36" s="59">
        <f>MAX(AP3:AP33)</f>
        <v>42.86</v>
      </c>
      <c r="AQ36" s="60">
        <f>MAX(AQ3:AQ33)</f>
        <v>676</v>
      </c>
      <c r="AR36" s="188">
        <f>MAX(AR3:AR33)</f>
        <v>8.5416666666666655E-2</v>
      </c>
      <c r="AS36" s="73"/>
      <c r="AT36" s="59">
        <f>MAX(AT3:AT33)</f>
        <v>53.66</v>
      </c>
      <c r="AU36" s="60">
        <f>MAX(AU3:AU33)</f>
        <v>568</v>
      </c>
      <c r="AV36" s="188">
        <f>MAX(AV3:AV33)</f>
        <v>0.11388888888888889</v>
      </c>
      <c r="AW36" s="73"/>
    </row>
    <row r="37" spans="1:49" s="54" customFormat="1" ht="11.25" x14ac:dyDescent="0.2">
      <c r="A37" s="54" t="s">
        <v>348</v>
      </c>
      <c r="B37" s="59">
        <f>IFERROR(AVERAGE(B3:B33),0)</f>
        <v>16.429615384615389</v>
      </c>
      <c r="C37" s="60">
        <f>IFERROR(AVERAGE(C3:C33),0)</f>
        <v>142.30769230769232</v>
      </c>
      <c r="D37" s="188">
        <f>IFERROR(AVERAGE(D3:D33),0)</f>
        <v>4.1666666666666664E-2</v>
      </c>
      <c r="E37" s="73"/>
      <c r="F37" s="59">
        <f>IFERROR(AVERAGE(F3:F33),0)</f>
        <v>19.390399999999996</v>
      </c>
      <c r="G37" s="60">
        <f>IFERROR(AVERAGE(G3:G33),0)</f>
        <v>162.63999999999999</v>
      </c>
      <c r="H37" s="188">
        <f>IFERROR(AVERAGE(H3:H33),0)</f>
        <v>4.2534722222222224E-2</v>
      </c>
      <c r="I37" s="73"/>
      <c r="J37" s="59">
        <f>IFERROR(AVERAGE(J3:J33),0)</f>
        <v>23.347777777777782</v>
      </c>
      <c r="K37" s="60">
        <f>IFERROR(AVERAGE(K3:K33),0)</f>
        <v>237.55555555555554</v>
      </c>
      <c r="L37" s="188">
        <f>IFERROR(AVERAGE(L3:L33),0)</f>
        <v>2.0833333333333332E-2</v>
      </c>
      <c r="M37" s="73"/>
      <c r="N37" s="59">
        <f>IFERROR(AVERAGE(N3:N33),0)</f>
        <v>24.961071428571426</v>
      </c>
      <c r="O37" s="60">
        <f>IFERROR(AVERAGE(O3:O33),0)</f>
        <v>296.92857142857144</v>
      </c>
      <c r="P37" s="188">
        <f>IFERROR(AVERAGE(P3:P33),0)</f>
        <v>4.1666666666666664E-2</v>
      </c>
      <c r="Q37" s="73"/>
      <c r="R37" s="59">
        <f>IFERROR(AVERAGE(R3:R33),0)</f>
        <v>30.836379310344835</v>
      </c>
      <c r="S37" s="60">
        <f>IFERROR(AVERAGE(S3:S33),0)</f>
        <v>425.89655172413791</v>
      </c>
      <c r="T37" s="188">
        <f>IFERROR(AVERAGE(T3:T33),0)</f>
        <v>4.7743055555555559E-2</v>
      </c>
      <c r="U37" s="73"/>
      <c r="V37" s="59">
        <f>IFERROR(AVERAGE(V3:V33),0)</f>
        <v>34.710399999999993</v>
      </c>
      <c r="W37" s="60">
        <f>IFERROR(AVERAGE(W3:W33),0)</f>
        <v>360.2</v>
      </c>
      <c r="X37" s="188">
        <f>IFERROR(AVERAGE(X3:X33),0)</f>
        <v>3.125E-2</v>
      </c>
      <c r="Y37" s="73"/>
      <c r="Z37" s="59">
        <f>IFERROR(AVERAGE(Z3:Z33),0)</f>
        <v>28.524000000000001</v>
      </c>
      <c r="AA37" s="60">
        <f>IFERROR(AVERAGE(AA3:AA33),0)</f>
        <v>343</v>
      </c>
      <c r="AB37" s="188">
        <f>IFERROR(AVERAGE(AB3:AB33),0)</f>
        <v>5.0810185185185187E-2</v>
      </c>
      <c r="AC37" s="73"/>
      <c r="AD37" s="59">
        <f>IFERROR(AVERAGE(AD3:AD33),0)</f>
        <v>32.804838709677419</v>
      </c>
      <c r="AE37" s="60">
        <f>IFERROR(AVERAGE(AE3:AE33),0)</f>
        <v>434.22580645161293</v>
      </c>
      <c r="AF37" s="188">
        <f>IFERROR(AVERAGE(AF3:AF33),0)</f>
        <v>3.680555555555555E-2</v>
      </c>
      <c r="AG37" s="73"/>
      <c r="AH37" s="59">
        <f>IFERROR(AVERAGE(AH3:AH33),0)</f>
        <v>19.002727272727274</v>
      </c>
      <c r="AI37" s="60">
        <f>IFERROR(AVERAGE(AI3:AI33),0)</f>
        <v>210.68181818181819</v>
      </c>
      <c r="AJ37" s="188">
        <f>IFERROR(AVERAGE(AJ3:AJ33),0)</f>
        <v>3.8194444444444448E-2</v>
      </c>
      <c r="AK37" s="73"/>
      <c r="AL37" s="59">
        <f>IFERROR(AVERAGE(AL3:AL33),0)</f>
        <v>23.217499999999998</v>
      </c>
      <c r="AM37" s="60">
        <f>IFERROR(AVERAGE(AM3:AM33),0)</f>
        <v>264.03571428571428</v>
      </c>
      <c r="AN37" s="188">
        <f>IFERROR(AVERAGE(AN3:AN33),0)</f>
        <v>3.078703703703704E-2</v>
      </c>
      <c r="AO37" s="73"/>
      <c r="AP37" s="59">
        <f>IFERROR(AVERAGE(AP3:AP33),0)</f>
        <v>18.747200000000003</v>
      </c>
      <c r="AQ37" s="60">
        <f>IFERROR(AVERAGE(AQ3:AQ33),0)</f>
        <v>182.24</v>
      </c>
      <c r="AR37" s="188">
        <f>IFERROR(AVERAGE(AR3:AR33),0)</f>
        <v>7.2569444444444436E-2</v>
      </c>
      <c r="AS37" s="73"/>
      <c r="AT37" s="59">
        <f>IFERROR(AVERAGE(AT3:AT33),0)</f>
        <v>18.806190476190476</v>
      </c>
      <c r="AU37" s="60">
        <f>IFERROR(AVERAGE(AU3:AU33),0)</f>
        <v>241.8095238095238</v>
      </c>
      <c r="AV37" s="188">
        <f>IFERROR(AVERAGE(AV3:AV33),0)</f>
        <v>4.8726851851851848E-2</v>
      </c>
      <c r="AW37" s="73"/>
    </row>
    <row r="38" spans="1:49" s="54" customFormat="1" ht="11.25" x14ac:dyDescent="0.2">
      <c r="A38" s="54" t="s">
        <v>241</v>
      </c>
      <c r="B38" s="59">
        <f>B34-'11'!B34</f>
        <v>186.16000000000017</v>
      </c>
      <c r="C38" s="91">
        <f>C34-'11'!C34</f>
        <v>1901</v>
      </c>
      <c r="D38" s="119">
        <f>IF(B34+D34=0,0,D34/(B34+D34))</f>
        <v>5.3195026265044201E-2</v>
      </c>
      <c r="E38" s="73"/>
      <c r="F38" s="59">
        <f>F34-'11'!F34</f>
        <v>143.86999999999989</v>
      </c>
      <c r="G38" s="91">
        <f>G34-'11'!G34</f>
        <v>830</v>
      </c>
      <c r="H38" s="119">
        <f>IF(F34+H34=0,0,H34/(F34+H34))</f>
        <v>0.16816528244903564</v>
      </c>
      <c r="I38" s="73"/>
      <c r="J38" s="59">
        <f>J34-'11'!J34</f>
        <v>232.16000000000008</v>
      </c>
      <c r="K38" s="91">
        <f>K34-'11'!K34</f>
        <v>3441</v>
      </c>
      <c r="L38" s="119">
        <f>IF(J34+L34=0,0,L34/(J34+L34))</f>
        <v>1.8680240975108574E-2</v>
      </c>
      <c r="M38" s="73"/>
      <c r="N38" s="59">
        <f>N34-'11'!N34</f>
        <v>-125.75000000000011</v>
      </c>
      <c r="O38" s="91">
        <f>O34-'11'!O34</f>
        <v>671</v>
      </c>
      <c r="P38" s="119">
        <f>IF(N34+P34=0,0,P34/(N34+P34))</f>
        <v>6.4264770855926426E-2</v>
      </c>
      <c r="Q38" s="73"/>
      <c r="R38" s="59">
        <f>R34-'11'!R34</f>
        <v>239.57500000000027</v>
      </c>
      <c r="S38" s="91">
        <f>S34-'11'!S34</f>
        <v>4857</v>
      </c>
      <c r="T38" s="119">
        <f>IF(R34+T34=0,0,T34/(R34+T34))</f>
        <v>0.10953393311459737</v>
      </c>
      <c r="U38" s="73"/>
      <c r="V38" s="59">
        <f>V34-'11'!V34</f>
        <v>-34.290000000000418</v>
      </c>
      <c r="W38" s="91">
        <f>W34-'11'!W34</f>
        <v>-3605</v>
      </c>
      <c r="X38" s="119">
        <f>IF(V34+X34=0,0,X34/(V34+X34))</f>
        <v>2.0321531791907519E-2</v>
      </c>
      <c r="Y38" s="73"/>
      <c r="Z38" s="59">
        <f>Z34-'11'!Z34</f>
        <v>249.59999999999991</v>
      </c>
      <c r="AA38" s="91">
        <f>AA34-'11'!AA34</f>
        <v>3651</v>
      </c>
      <c r="AB38" s="119">
        <f>IF(Z34+AB34=0,0,AB34/(Z34+AB34))</f>
        <v>0.17026723034557653</v>
      </c>
      <c r="AC38" s="73"/>
      <c r="AD38" s="59">
        <f>AD34-'11'!AD34</f>
        <v>244.66999999999996</v>
      </c>
      <c r="AE38" s="91">
        <f>AE34-'11'!AE34</f>
        <v>4580</v>
      </c>
      <c r="AF38" s="119">
        <f>IF(AD34+AF34=0,0,AF34/(AD34+AF34))</f>
        <v>4.0024543352055499E-2</v>
      </c>
      <c r="AG38" s="73"/>
      <c r="AH38" s="59">
        <f>AH34-'11'!AH34</f>
        <v>-102.87999999999994</v>
      </c>
      <c r="AI38" s="91">
        <f>AI34-'11'!AI34</f>
        <v>-3609</v>
      </c>
      <c r="AJ38" s="119">
        <f>IF(AH34+AJ34=0,0,AJ34/(AH34+AJ34))</f>
        <v>0.13634673387596583</v>
      </c>
      <c r="AK38" s="73"/>
      <c r="AL38" s="59">
        <f>AL34-'11'!AL34</f>
        <v>-42.699999999999932</v>
      </c>
      <c r="AM38" s="91">
        <f>AM34-'11'!AM34</f>
        <v>-344</v>
      </c>
      <c r="AN38" s="119">
        <f>IF(AL34+AN34=0,0,AN34/(AL34+AN34))</f>
        <v>7.5644470986364093E-2</v>
      </c>
      <c r="AO38" s="73"/>
      <c r="AP38" s="59">
        <f>AP34-'11'!AP34</f>
        <v>86.199999999999989</v>
      </c>
      <c r="AQ38" s="91">
        <f>AQ34-'11'!AQ34</f>
        <v>2645</v>
      </c>
      <c r="AR38" s="119">
        <f>IF(AP34+AR34=0,0,AR34/(AP34+AR34))</f>
        <v>0.15137249221409427</v>
      </c>
      <c r="AS38" s="73"/>
      <c r="AT38" s="59">
        <f>AT34-'11'!AT34</f>
        <v>64.079999999999984</v>
      </c>
      <c r="AU38" s="91">
        <f>AU34-'11'!AU34</f>
        <v>2231</v>
      </c>
      <c r="AV38" s="119">
        <f>IF(AT34+AV34=0,0,AV34/(AT34+AV34))</f>
        <v>0.29893668009869878</v>
      </c>
      <c r="AW38" s="73"/>
    </row>
    <row r="39" spans="1:49" s="1" customFormat="1" x14ac:dyDescent="0.2">
      <c r="A39" s="51" t="s">
        <v>158</v>
      </c>
      <c r="B39" s="177" t="s">
        <v>242</v>
      </c>
      <c r="C39" s="178">
        <v>24</v>
      </c>
      <c r="D39" s="189">
        <v>4.1666666666666664E-2</v>
      </c>
      <c r="E39" s="205"/>
      <c r="H39" s="206"/>
      <c r="I39" s="205"/>
      <c r="J39" s="55">
        <f>SUM(B34,F34,J34)</f>
        <v>1542.3200000000002</v>
      </c>
      <c r="K39" s="56">
        <f t="shared" ref="K39:L39" si="12">SUM(C34,G34,K34)</f>
        <v>14180</v>
      </c>
      <c r="L39" s="207">
        <f t="shared" si="12"/>
        <v>134</v>
      </c>
      <c r="M39" s="205"/>
      <c r="P39" s="206"/>
      <c r="Q39" s="205"/>
      <c r="T39" s="206"/>
      <c r="U39" s="205"/>
      <c r="V39" s="55">
        <f>SUM(N34,R34,V34)</f>
        <v>2460.9250000000002</v>
      </c>
      <c r="W39" s="56">
        <f>SUM(O34,S34,W34)</f>
        <v>29670</v>
      </c>
      <c r="X39" s="207">
        <f>SUM(P34,T34,X34)</f>
        <v>176</v>
      </c>
      <c r="Y39" s="205"/>
      <c r="AB39" s="206"/>
      <c r="AC39" s="205"/>
      <c r="AF39" s="206"/>
      <c r="AG39" s="205"/>
      <c r="AH39" s="55">
        <f>SUM(Z34,AD34,AH34)</f>
        <v>2290.73</v>
      </c>
      <c r="AI39" s="56">
        <f>SUM(AA34,AE34,AI34)</f>
        <v>28386</v>
      </c>
      <c r="AJ39" s="207">
        <f>SUM(AB34,AF34,AJ34)</f>
        <v>284</v>
      </c>
      <c r="AK39" s="205"/>
      <c r="AN39" s="206"/>
      <c r="AO39" s="205"/>
      <c r="AR39" s="206"/>
      <c r="AS39" s="205"/>
      <c r="AT39" s="55">
        <f>SUM(AL34,AP34,AT34)</f>
        <v>1513.7</v>
      </c>
      <c r="AU39" s="56">
        <f>SUM(AM34,AQ34,AU34)</f>
        <v>17027</v>
      </c>
      <c r="AV39" s="207">
        <f>SUM(AN34,AR34,AV34)</f>
        <v>305.2</v>
      </c>
      <c r="AW39" s="205"/>
    </row>
    <row r="40" spans="1:49" s="54" customFormat="1" ht="11.25" x14ac:dyDescent="0.2">
      <c r="A40" s="54" t="s">
        <v>347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19.722597720797722</v>
      </c>
      <c r="K40" s="60">
        <f>IFERROR(AVERAGE(C37,G37,K37),0)</f>
        <v>180.83441595441596</v>
      </c>
      <c r="L40" s="188">
        <f>IFERROR(AVERAGE(D37,H37,L37),0)</f>
        <v>3.5011574074074077E-2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30.169283579638755</v>
      </c>
      <c r="W40" s="60">
        <f>IFERROR(AVERAGE(O37,S37,W37),0)</f>
        <v>361.00837438423645</v>
      </c>
      <c r="X40" s="188">
        <f>IFERROR(AVERAGE(P37,T37,X37),0)</f>
        <v>4.0219907407407406E-2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26.777188660801567</v>
      </c>
      <c r="AI40" s="60">
        <f>IFERROR(AVERAGE(AA37,AE37,AI37),0)</f>
        <v>329.30254154447704</v>
      </c>
      <c r="AJ40" s="188">
        <f>IFERROR(AVERAGE(AB37,AF37,AJ37),0)</f>
        <v>4.1936728395061733E-2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20.256963492063491</v>
      </c>
      <c r="AU40" s="60">
        <f>IFERROR(AVERAGE(AM37,AQ37,AU37),0)</f>
        <v>229.36174603174604</v>
      </c>
      <c r="AV40" s="188">
        <f>IFERROR(AVERAGE(AN37,AR37,AV37),0)</f>
        <v>5.0694444444444438E-2</v>
      </c>
      <c r="AW40" s="73"/>
    </row>
    <row r="41" spans="1:49" s="118" customFormat="1" ht="11.25" x14ac:dyDescent="0.2">
      <c r="A41" s="115" t="s">
        <v>225</v>
      </c>
      <c r="B41" s="109">
        <f>RANK(B34,(B34,F34,J34,N34,R34,V34,Z34,AD34,AH34,AL34,AP34,AT34))</f>
        <v>10</v>
      </c>
      <c r="C41" s="110">
        <f>RANK(C34,(C34,G34,K34,O34,S34,W34,AA34,AE34,AI34,AM34,AQ34,AU34))</f>
        <v>12</v>
      </c>
      <c r="D41" s="116">
        <f>RANK(D34,(D34,H34,L34,P34,T34,X34,AB34,AF34,AJ34,AN34,AR34,AV34))</f>
        <v>10</v>
      </c>
      <c r="E41" s="117"/>
      <c r="F41" s="109">
        <f>RANK(F34,(B34,F34,J34,N34,R34,V34,Z34,AD34,AH34,AL34,AP34,AT34))</f>
        <v>8</v>
      </c>
      <c r="G41" s="110">
        <f>RANK(G34,(C34,G34,K34,O34,S34,W34,AA34,AE34,AI34,AM34,AQ34,AU34))</f>
        <v>11</v>
      </c>
      <c r="H41" s="116">
        <f>RANK(H34,(D34,H34,L34,P34,T34,X34,AB34,AF34,AJ34,AN34,AR34,AV34))</f>
        <v>4</v>
      </c>
      <c r="I41" s="117"/>
      <c r="J41" s="109">
        <f>RANK(J34,(B34,F34,J34,N34,R34,V34,Z34,AD34,AH34,AL34,AP34,AT34))</f>
        <v>7</v>
      </c>
      <c r="K41" s="110">
        <f>RANK(K34,(C34,G34,K34,O34,S34,W34,AA34,AE34,AI34,AM34,AQ34,AU34))</f>
        <v>7</v>
      </c>
      <c r="L41" s="116">
        <f>RANK(L34,(D34,H34,L34,P34,T34,X34,AB34,AF34,AJ34,AN34,AR34,AV34))</f>
        <v>12</v>
      </c>
      <c r="M41" s="117"/>
      <c r="N41" s="109">
        <f>RANK(N34,(B34,F34,J34,N34,R34,V34,Z34,AD34,AH34,AL34,AP34,AT34))</f>
        <v>5</v>
      </c>
      <c r="O41" s="110">
        <f>RANK(O34,(C34,G34,K34,O34,S34,W34,AA34,AE34,AI34,AM34,AQ34,AU34))</f>
        <v>5</v>
      </c>
      <c r="P41" s="116">
        <f>RANK(P34,(D34,H34,L34,P34,T34,X34,AB34,AF34,AJ34,AN34,AR34,AV34))</f>
        <v>8</v>
      </c>
      <c r="Q41" s="117"/>
      <c r="R41" s="109">
        <f>RANK(R34,(B34,F34,J34,N34,R34,V34,Z34,AD34,AH34,AL34,AP34,AT34))</f>
        <v>2</v>
      </c>
      <c r="S41" s="110">
        <f>RANK(S34,(C34,G34,K34,O34,S34,W34,AA34,AE34,AI34,AM34,AQ34,AU34))</f>
        <v>2</v>
      </c>
      <c r="T41" s="116">
        <f>RANK(T34,(D34,H34,L34,P34,T34,X34,AB34,AF34,AJ34,AN34,AR34,AV34))</f>
        <v>3</v>
      </c>
      <c r="U41" s="117"/>
      <c r="V41" s="109">
        <f>RANK(V34,(B34,F34,J34,N34,R34,V34,Z34,AD34,AH34,AL34,AP34,AT34))</f>
        <v>3</v>
      </c>
      <c r="W41" s="110">
        <f>RANK(W34,(C34,G34,K34,O34,S34,W34,AA34,AE34,AI34,AM34,AQ34,AU34))</f>
        <v>4</v>
      </c>
      <c r="X41" s="116">
        <f>RANK(X34,(D34,H34,L34,P34,T34,X34,AB34,AF34,AJ34,AN34,AR34,AV34))</f>
        <v>11</v>
      </c>
      <c r="Y41" s="117"/>
      <c r="Z41" s="109">
        <f>RANK(Z34,(B34,F34,J34,N34,R34,V34,Z34,AD34,AH34,AL34,AP34,AT34))</f>
        <v>4</v>
      </c>
      <c r="AA41" s="110">
        <f>RANK(AA34,(C34,G34,K34,O34,S34,W34,AA34,AE34,AI34,AM34,AQ34,AU34))</f>
        <v>3</v>
      </c>
      <c r="AB41" s="116">
        <f>RANK(AB34,(D34,H34,L34,P34,T34,X34,AB34,AF34,AJ34,AN34,AR34,AV34))</f>
        <v>1</v>
      </c>
      <c r="AC41" s="117"/>
      <c r="AD41" s="109">
        <f>RANK(AD34,(B34,F34,J34,N34,R34,V34,Z34,AD34,AH34,AL34,AP34,AT34))</f>
        <v>1</v>
      </c>
      <c r="AE41" s="110">
        <f>RANK(AE34,(C34,G34,K34,O34,S34,W34,AA34,AE34,AI34,AM34,AQ34,AU34))</f>
        <v>1</v>
      </c>
      <c r="AF41" s="116">
        <f>RANK(AF34,(D34,H34,L34,P34,T34,X34,AB34,AF34,AJ34,AN34,AR34,AV34))</f>
        <v>9</v>
      </c>
      <c r="AG41" s="117"/>
      <c r="AH41" s="109">
        <f>RANK(AH34,(B34,F34,J34,N34,R34,V34,Z34,AD34,AH34,AL34,AP34,AT34))</f>
        <v>11</v>
      </c>
      <c r="AI41" s="110">
        <f>RANK(AI34,(C34,G34,K34,O34,S34,W34,AA34,AE34,AI34,AM34,AQ34,AU34))</f>
        <v>9</v>
      </c>
      <c r="AJ41" s="116">
        <f>RANK(AJ34,(D34,H34,L34,P34,T34,X34,AB34,AF34,AJ34,AN34,AR34,AV34))</f>
        <v>6</v>
      </c>
      <c r="AK41" s="117"/>
      <c r="AL41" s="109">
        <f>RANK(AL34,(B34,F34,J34,N34,R34,V34,Z34,AD34,AH34,AL34,AP34,AT34))</f>
        <v>6</v>
      </c>
      <c r="AM41" s="110">
        <f>RANK(AM34,(C34,G34,K34,O34,S34,W34,AA34,AE34,AI34,AM34,AQ34,AU34))</f>
        <v>6</v>
      </c>
      <c r="AN41" s="116">
        <f>RANK(AN34,(D34,H34,L34,P34,T34,X34,AB34,AF34,AJ34,AN34,AR34,AV34))</f>
        <v>7</v>
      </c>
      <c r="AO41" s="117"/>
      <c r="AP41" s="109">
        <f>RANK(AP34,(B34,F34,J34,N34,R34,V34,Z34,AD34,AH34,AL34,AP34,AT34))</f>
        <v>9</v>
      </c>
      <c r="AQ41" s="110">
        <f>RANK(AQ34,(C34,G34,K34,O34,S34,W34,AA34,AE34,AI34,AM34,AQ34,AU34))</f>
        <v>10</v>
      </c>
      <c r="AR41" s="116">
        <f>RANK(AR34,(D34,H34,L34,P34,T34,X34,AB34,AF34,AJ34,AN34,AR34,AV34))</f>
        <v>5</v>
      </c>
      <c r="AS41" s="117"/>
      <c r="AT41" s="109">
        <f>RANK(AT34,(B34,F34,J34,N34,R34,V34,Z34,AD34,AH34,AL34,AP34,AT34))</f>
        <v>12</v>
      </c>
      <c r="AU41" s="110">
        <f>RANK(AU34,(C34,G34,K34,O34,S34,W34,AA34,AE34,AI34,AM34,AQ34,AU34))</f>
        <v>8</v>
      </c>
      <c r="AV41" s="116">
        <f>RANK(AV34,(D34,H34,L34,P34,T34,X34,AB34,AF34,AJ34,AN34,AR34,AV34))</f>
        <v>2</v>
      </c>
      <c r="AW41" s="122"/>
    </row>
    <row r="42" spans="1:49" s="54" customFormat="1" ht="11.25" x14ac:dyDescent="0.2">
      <c r="A42" s="57" t="s">
        <v>218</v>
      </c>
      <c r="B42" s="100">
        <f>T1</f>
        <v>24.231508363325386</v>
      </c>
      <c r="C42" s="101">
        <f>AB1</f>
        <v>275.12676947871887</v>
      </c>
      <c r="D42" s="102"/>
      <c r="E42" s="214" t="s">
        <v>404</v>
      </c>
      <c r="F42" s="215">
        <f>SUM(J23:J33,N3:N33,R3:R33,V3:V33,Z3:Z33,AD3:AD33,AH3:AH23)</f>
        <v>4834.7450000000026</v>
      </c>
      <c r="G42" s="216">
        <f>SUM(K23:K33,O3:O32,S3:S33,W3:W32,AA3:AA33,AE3:AE33,AI3:AI23)</f>
        <v>59322</v>
      </c>
      <c r="H42" s="217"/>
      <c r="I42" s="217"/>
      <c r="J42" s="218">
        <f>IFERROR(F42/(F42+F43),0)</f>
        <v>0.61922979632220887</v>
      </c>
      <c r="K42" s="218">
        <f>IFERROR(G42/(G42+G43),0)</f>
        <v>0.66457546799905898</v>
      </c>
      <c r="L42" s="217"/>
      <c r="M42" s="309" t="s">
        <v>606</v>
      </c>
      <c r="N42" s="307">
        <v>55</v>
      </c>
      <c r="Y42" s="173"/>
      <c r="AK42" s="255" t="s">
        <v>484</v>
      </c>
      <c r="AL42" s="52">
        <f>MAX(B34,F34,J34,N34,R34,V34,Z34,AD34,AH34,AL34,AP34,AT34)</f>
        <v>1016.9499999999999</v>
      </c>
      <c r="AM42" s="256">
        <f>MAX(C34,G34,K34,O34,S34,W34,AA34,AE34,AI34,AM34,AQ34,AU34)</f>
        <v>13461</v>
      </c>
      <c r="AN42" s="54" t="s">
        <v>351</v>
      </c>
      <c r="AO42" s="253" t="s">
        <v>349</v>
      </c>
      <c r="AP42" s="59">
        <f>R1-'11'!R1</f>
        <v>153.92000000000004</v>
      </c>
      <c r="AQ42" s="91">
        <f>AF1-'11'!AF1</f>
        <v>1901</v>
      </c>
      <c r="AR42" s="54" t="s">
        <v>350</v>
      </c>
      <c r="AS42" s="252" t="s">
        <v>349</v>
      </c>
      <c r="AT42" s="59">
        <f>I1-'11'!I1</f>
        <v>6.3400000000000034</v>
      </c>
      <c r="AU42" s="91">
        <f>AN1-'11'!AN1</f>
        <v>30</v>
      </c>
      <c r="AV42" s="54" t="s">
        <v>351</v>
      </c>
      <c r="AW42" s="73"/>
    </row>
    <row r="43" spans="1:49" s="54" customFormat="1" ht="11.25" x14ac:dyDescent="0.2">
      <c r="A43" s="57" t="s">
        <v>219</v>
      </c>
      <c r="B43" s="100">
        <f>E1/365</f>
        <v>21.390890410958907</v>
      </c>
      <c r="C43" s="101">
        <f>AU1/365</f>
        <v>244.55616438356165</v>
      </c>
      <c r="D43" s="102"/>
      <c r="E43" s="210" t="s">
        <v>405</v>
      </c>
      <c r="F43" s="211">
        <f>E1-F42</f>
        <v>2972.9299999999985</v>
      </c>
      <c r="G43" s="212">
        <f>AU1-G42</f>
        <v>29941</v>
      </c>
      <c r="H43" s="213"/>
      <c r="I43" s="213"/>
      <c r="J43" s="219">
        <f>IFERROR(F43/(F42+F43),0)</f>
        <v>0.38077020367779113</v>
      </c>
      <c r="K43" s="219">
        <f>IFERROR(G43/(G42+G43),0)</f>
        <v>0.33542453200094102</v>
      </c>
      <c r="L43" s="213"/>
      <c r="M43" s="71" t="s">
        <v>607</v>
      </c>
      <c r="N43" s="308">
        <v>8</v>
      </c>
      <c r="Y43" s="73"/>
      <c r="AK43" s="257" t="s">
        <v>487</v>
      </c>
      <c r="AL43" s="228">
        <f>IF($B$1&lt;&gt;0,$AV$35/$B1,0)</f>
        <v>0.1032747110760175</v>
      </c>
      <c r="AO43" s="254" t="s">
        <v>349</v>
      </c>
      <c r="AP43" s="59">
        <f>AV35-'11'!AV35</f>
        <v>514.40000000000009</v>
      </c>
      <c r="AQ43" s="228">
        <f>AL43-'11'!AL43</f>
        <v>4.8706928189994406E-2</v>
      </c>
      <c r="AR43" s="54" t="s">
        <v>208</v>
      </c>
      <c r="AS43" s="252" t="s">
        <v>349</v>
      </c>
      <c r="AT43" s="59">
        <f>B1-'11'!B1</f>
        <v>1655.0950000000012</v>
      </c>
      <c r="AU43" s="91">
        <f>AU1-'11'!AU1</f>
        <v>17249</v>
      </c>
      <c r="AV43" s="54" t="s">
        <v>352</v>
      </c>
      <c r="AW43" s="73"/>
    </row>
  </sheetData>
  <sheetProtection password="CC70" sheet="1" objects="1" scenarios="1"/>
  <mergeCells count="19"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  <mergeCell ref="AU1:AV1"/>
    <mergeCell ref="AH1:AI1"/>
    <mergeCell ref="AJ1:AK1"/>
    <mergeCell ref="AL1:AM1"/>
    <mergeCell ref="AN1:AO1"/>
    <mergeCell ref="AP1:AQ1"/>
    <mergeCell ref="AR1:AS1"/>
  </mergeCells>
  <conditionalFormatting sqref="B34 F34 J34 N34 R34 V34 Z34 AD34 AH34 AL34 AP34 AT34">
    <cfRule type="cellIs" dxfId="586" priority="66" operator="equal">
      <formula>$R$1</formula>
    </cfRule>
    <cfRule type="cellIs" dxfId="585" priority="67" operator="equal">
      <formula>$M$1</formula>
    </cfRule>
  </conditionalFormatting>
  <conditionalFormatting sqref="C34 G34 K34 O34 S34 W34 AA34 AE34 AI34 AM34 AQ34 AU34">
    <cfRule type="cellIs" dxfId="584" priority="65" operator="equal">
      <formula>$AF$1</formula>
    </cfRule>
    <cfRule type="cellIs" dxfId="583" priority="68" operator="equal">
      <formula>$AJ$1</formula>
    </cfRule>
  </conditionalFormatting>
  <conditionalFormatting sqref="B38:C38 AT42:AU43 AP42:AQ42 F38:G38 J38:K38 N38:O38 R38:S38 V38:W38 Z38:AA38 AD38:AE38 AH38:AI38 AL38:AM38 AP38:AQ38 AT38:AU38">
    <cfRule type="cellIs" dxfId="582" priority="62" operator="lessThan">
      <formula>0</formula>
    </cfRule>
    <cfRule type="cellIs" dxfId="581" priority="63" operator="greaterThanOrEqual">
      <formula>0</formula>
    </cfRule>
  </conditionalFormatting>
  <conditionalFormatting sqref="C38 AU42:AU43 AQ42 G38 K38 O38 S38 W38 AA38 AE38 AI38 AM38 AQ38 AU38">
    <cfRule type="cellIs" dxfId="580" priority="60" operator="lessThan">
      <formula>0</formula>
    </cfRule>
    <cfRule type="cellIs" dxfId="579" priority="61" operator="greaterThanOrEqual">
      <formula>0</formula>
    </cfRule>
  </conditionalFormatting>
  <conditionalFormatting sqref="D38">
    <cfRule type="cellIs" dxfId="578" priority="53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577" priority="52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576" priority="51" operator="equal">
      <formula>MAX($D$34,$H$34,$L$34,$P$34,$T$34,$X$34,$AB$34,$AF$34,$AJ$34,$AN$34,$AR$34,$AV$34)</formula>
    </cfRule>
  </conditionalFormatting>
  <conditionalFormatting sqref="D3:D33 H3:H33 L3:L33 P3:P33 T3:T33 X3:X33 AB3:AB33 AF3:AF33 AJ3:AJ33 AN3:AN33 AR3:AR33 AV3:AV33">
    <cfRule type="cellIs" dxfId="575" priority="48" stopIfTrue="1" operator="between">
      <formula>0</formula>
      <formula>0.0416550925925926</formula>
    </cfRule>
    <cfRule type="cellIs" dxfId="574" priority="49" stopIfTrue="1" operator="between">
      <formula>0.0416666666666667</formula>
      <formula>0.0833217592592593</formula>
    </cfRule>
    <cfRule type="cellIs" dxfId="573" priority="50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572" priority="36" operator="equal">
      <formula>MAX($D$36,$H$36,$L$36,$P$36,$T$36,$X$36,$AB$36,$AF$36,$AJ$36,$AN$36,$AR$36,$AV$36)</formula>
    </cfRule>
  </conditionalFormatting>
  <conditionalFormatting sqref="AP43">
    <cfRule type="cellIs" dxfId="571" priority="34" operator="lessThan">
      <formula>0</formula>
    </cfRule>
    <cfRule type="cellIs" dxfId="570" priority="35" operator="greaterThanOrEqual">
      <formula>0</formula>
    </cfRule>
  </conditionalFormatting>
  <conditionalFormatting sqref="B3:B33 F3:F33 J3:J33 N3:N33 R3:R33 V3:V33 Z3:Z33 AT3:AT33 AH3:AH33 AL3:AL33 AP3:AP33 AD3:AD33">
    <cfRule type="cellIs" dxfId="569" priority="57" stopIfTrue="1" operator="lessThan">
      <formula>50</formula>
    </cfRule>
    <cfRule type="cellIs" dxfId="568" priority="58" stopIfTrue="1" operator="greaterThanOrEqual">
      <formula>100</formula>
    </cfRule>
    <cfRule type="cellIs" dxfId="567" priority="59" operator="greaterThanOrEqual">
      <formula>50</formula>
    </cfRule>
  </conditionalFormatting>
  <conditionalFormatting sqref="C3:C33 G3:G33 K3:K33 O3:O33 S3:S33 W3:W33 AA3:AA33 AU3:AU33 AI3:AI33 AM3:AM33 AQ3:AQ33 AE3:AE33">
    <cfRule type="cellIs" dxfId="566" priority="54" stopIfTrue="1" operator="between">
      <formula>0</formula>
      <formula>749.99</formula>
    </cfRule>
    <cfRule type="cellIs" dxfId="565" priority="55" stopIfTrue="1" operator="greaterThanOrEqual">
      <formula>1500</formula>
    </cfRule>
    <cfRule type="cellIs" dxfId="564" priority="56" operator="greaterThanOrEqual">
      <formula>750</formula>
    </cfRule>
  </conditionalFormatting>
  <conditionalFormatting sqref="AQ43">
    <cfRule type="cellIs" dxfId="563" priority="32" stopIfTrue="1" operator="lessThan">
      <formula>0</formula>
    </cfRule>
    <cfRule type="cellIs" dxfId="562" priority="33" operator="greaterThanOrEqual">
      <formula>0</formula>
    </cfRule>
  </conditionalFormatting>
  <conditionalFormatting sqref="AL42">
    <cfRule type="cellIs" dxfId="561" priority="26" stopIfTrue="1" operator="lessThan">
      <formula>1000</formula>
    </cfRule>
    <cfRule type="cellIs" dxfId="560" priority="27" stopIfTrue="1" operator="lessThan">
      <formula>1100</formula>
    </cfRule>
    <cfRule type="cellIs" dxfId="559" priority="28" stopIfTrue="1" operator="lessThan">
      <formula>9999</formula>
    </cfRule>
  </conditionalFormatting>
  <conditionalFormatting sqref="AM42">
    <cfRule type="cellIs" dxfId="558" priority="23" stopIfTrue="1" operator="lessThan">
      <formula>10000</formula>
    </cfRule>
    <cfRule type="cellIs" dxfId="557" priority="24" stopIfTrue="1" operator="lessThan">
      <formula>13000</formula>
    </cfRule>
    <cfRule type="cellIs" dxfId="556" priority="25" stopIfTrue="1" operator="lessThan">
      <formula>99999</formula>
    </cfRule>
  </conditionalFormatting>
  <conditionalFormatting sqref="AL43">
    <cfRule type="cellIs" dxfId="555" priority="20" stopIfTrue="1" operator="lessThan">
      <formula>0.05</formula>
    </cfRule>
    <cfRule type="cellIs" dxfId="554" priority="21" stopIfTrue="1" operator="lessThan">
      <formula>0.1</formula>
    </cfRule>
    <cfRule type="cellIs" dxfId="553" priority="22" stopIfTrue="1" operator="lessThanOrEqual">
      <formula>1</formula>
    </cfRule>
  </conditionalFormatting>
  <pageMargins left="0.7" right="0.7" top="0.78740157499999996" bottom="0.78740157499999996" header="0.3" footer="0.3"/>
  <ignoredErrors>
    <ignoredError sqref="F42:G42" formulaRange="1"/>
  </ignoredErrors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A40A3CDF-25FD-4C6E-AEE0-1E6F4700A3CB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5" operator="equal" id="{A22F9541-794D-4930-8ECB-013C391C6584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47" operator="equal" id="{C171CE8A-30AA-4844-B083-3D3A55B8FCE6}">
            <xm:f>MAX('08'!$C$34,'09'!$C$34,'10'!$C$34,$C$34)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46" operator="equal" id="{08A7D5DB-95D4-49B1-BD34-47DA3ABE2A23}">
            <xm:f>MAX('08'!$F$34,'09'!$G$34,'10'!$G$34,$G$34,'14'!$G$34)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45" operator="equal" id="{D8B48EE4-4B1A-41BF-9E6A-5AD55B9F951F}">
            <xm:f>MAX('08'!$I$34,'09'!$K$34,'10'!$K$34,$K$34,'14'!$K$34)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44" operator="equal" id="{492788E6-3D1A-4AE8-B0AF-4C9AA49CA53C}">
            <xm:f>MAX('08'!$L$34,'09'!$O$34,'10'!$O$34,$O$34,'14'!$O$34)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43" operator="equal" id="{25782485-2D65-4C72-BF71-74626F70DF83}">
            <xm:f>MAX('08'!$O$34,'09'!$S$34,'10'!$S$34,$S$34,'14'!$S$34)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42" operator="equal" id="{0368888C-8A4E-4C5C-81E1-A0FC7387B0EE}">
            <xm:f>MAX('08'!$R$34,'09'!$W$34,'10'!$W$34,$W$34)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41" operator="equal" id="{992538BC-CF08-45B1-BCE9-6AFBB8201A3C}">
            <xm:f>MAX('08'!$U$34,'09'!$AA$34,'10'!$AA$34,'11'!$AA$34,'13'!$AA$34)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40" operator="equal" id="{D0F2F5BA-05F8-445F-A549-0D4E824E3425}">
            <xm:f>MAX('08'!$X$34,'09'!$AE$34,'10'!$AE$34,$AE$34,'14'!$AE$34)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39" operator="equal" id="{E3CDB4A3-A7AB-4F82-AC69-B3E3BFE0EA1B}">
            <xm:f>MAX('08'!$AA$34,'09'!$AI$34,'10'!$AI$34,$AI$34)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38" operator="equal" id="{15789FBA-A865-43DF-AC6E-BD0D04F40D5D}">
            <xm:f>MAX('08'!$AD$34,'09'!$AM$34,'10'!$AM$34,'11'!$AM$34,$AM$34)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37" operator="equal" id="{619B9592-992E-4961-9DF2-4CDB85AF7965}">
            <xm:f>MAX('08'!$AG$34,'09'!$AQ$34,'10'!$AQ$34,$AQ$34,'14'!$AQ$34)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64" operator="equal" id="{DFC25352-9D97-4BF8-87BB-A94E3E517369}">
            <xm:f>MAX('08'!$AJ$34,'09'!$AU$34,'10'!$AU$34,$AU$34,'14'!$AU$34)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14" operator="equal" id="{CDDDAA8C-DA1A-42A3-940C-C77D98177FA0}">
            <xm:f>MAX('08'!$K$34,'09'!$N$34,'10'!$N$34,'11'!$N$34,$N$34)</xm:f>
            <x14:dxf>
              <font>
                <b val="0"/>
                <i/>
              </font>
            </x14:dxf>
          </x14:cfRule>
          <x14:cfRule type="cellIs" priority="18" operator="equal" id="{FCACC097-D4B4-4193-BA65-A3B2D2E5D760}">
            <xm:f>MAX('08'!$K$34,'09'!$N$34,'10'!$N$34,'11'!$N$34,$N$34)</xm:f>
            <x14:dxf/>
          </x14:cfRule>
          <x14:cfRule type="cellIs" priority="31" operator="equal" id="{42442FA6-0CAD-470B-B8AD-E97ADD2450E7}">
            <xm:f>MAX('08'!$N$34,'09'!$R$34,'10'!$R$34,$R$34)</xm:f>
            <x14:dxf/>
          </x14:cfRule>
          <xm:sqref>N34</xm:sqref>
        </x14:conditionalFormatting>
        <x14:conditionalFormatting xmlns:xm="http://schemas.microsoft.com/office/excel/2006/main">
          <x14:cfRule type="cellIs" priority="30" operator="equal" id="{B22B63D8-8EEA-42C1-B953-0F75130F3769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19" operator="equal" id="{1C2F7C34-3828-4C92-974A-543E3AAF547F}">
            <xm:f>MAX($B$1,'08'!$C$1:$D$1,'09'!$B$1:$C$1,'10'!$B$1:$C$1,'11'!$B$1:$C$1)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17" operator="equal" id="{F26DAB47-F96B-4A63-93AA-4DFC110E77D3}">
            <xm:f>MAX('08'!$B$34,'09'!$B$34,'10'!$B$34,'11'!$B$34,$B$34)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16" operator="equal" id="{E550A2C6-45AF-414F-B249-AAC271633F2D}">
            <xm:f>MAX('08'!$E$34,'09'!$F$34,'10'!$F$34,'11'!$F$34,$F$34,'14'!$F$34)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15" operator="equal" id="{2AFCC5BF-4537-4174-B42C-8A242C59EB57}">
            <xm:f>MAX('08'!$H$34,'09'!$J$34,'10'!$J$34,'11'!$J$34,$J$34,'14'!$J$34)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13" operator="equal" id="{68FC911C-C9D7-4C8F-A872-7BBA3C90B04E}">
            <xm:f>MAX('08'!$N$34,'09'!$R$34,'10'!$R$34,'11'!$R$34,$R$34,'15'!$R$34)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12" operator="equal" id="{F087EBDE-EB5D-40C0-A21A-AFF6EBF7F0C1}">
            <xm:f>MAX('08'!$Q$34,'09'!$V$34,'10'!$V$34,'11'!$V$34,$V$34)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11" operator="equal" id="{A86B2E6E-CF83-4E91-A62D-DBB862638A3B}">
            <xm:f>MAX('08'!$T$34,'09'!$Z$34,'10'!$Z$34,'11'!$Z$34,$Z$34,'14'!$Z$34)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0" operator="equal" id="{A93C33DD-622B-40F8-96F2-1D1BDA12A5E4}">
            <xm:f>MAX('08'!$W$34,'09'!$AD$34,'10'!$AD$34,'11'!$AD$34,$AD$34,'14'!$AD$34)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9" operator="equal" id="{9663B097-A9E4-4F70-86CB-312A8CF29526}">
            <xm:f>MAX('08'!$Z$34,'09'!$AH$34,'10'!$AH$34,'11'!$AH$34,$AH$34)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8" operator="equal" id="{FF142454-057B-4334-A31A-B350FD93605F}">
            <xm:f>MAX('08'!$AC$34,'09'!$AL$34,'10'!$AL$34,'11'!$AL$34,$AL$34)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7" operator="equal" id="{A83C4A4D-AEBE-4A5A-BD61-2BFE65042372}">
            <xm:f>MAX('08'!$AF$34,'09'!$AP$34,'10'!$AP$34,'11'!$AP$34,$AP$34)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6" operator="equal" id="{69FF5AF7-B3F2-4154-8FB8-810211E42582}">
            <xm:f>MAX('08'!$AI$34,'09'!$AT$34,'10'!$AT$34,'11'!$AT$34,$AT$34,'13'!$AT$34)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3" operator="equal" id="{ECBDC55C-8CE5-424E-B4ED-59909E57BF8E}">
            <xm:f>MAX($E$1,'14'!$E$1:$F$1)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2" operator="equal" id="{5D493883-A21E-4AB4-B51D-53B68414B34F}">
            <xm:f>MAX('13'!$AR$1,$AR$1,'11'!$AR$1,'10'!$AR$1,'09'!$AR$1)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1" operator="equal" id="{82371CFD-8B3E-4C59-AD5E-663FE7BE4127}">
            <xm:f>stat!$S$5</xm:f>
            <x14:dxf>
              <font>
                <b/>
                <i/>
              </font>
            </x14:dxf>
          </x14:cfRule>
          <xm:sqref>AU1:AV1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499984740745262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5.7109375" bestFit="1" customWidth="1"/>
    <col min="3" max="3" width="5.42578125" bestFit="1" customWidth="1"/>
    <col min="4" max="4" width="4.28515625" bestFit="1" customWidth="1"/>
    <col min="5" max="5" width="6.5703125" bestFit="1" customWidth="1"/>
    <col min="6" max="6" width="6.28515625" bestFit="1" customWidth="1"/>
    <col min="7" max="7" width="5.7109375" bestFit="1" customWidth="1"/>
    <col min="8" max="8" width="4.140625" bestFit="1" customWidth="1"/>
    <col min="9" max="9" width="3.5703125" bestFit="1" customWidth="1"/>
    <col min="10" max="10" width="7" bestFit="1" customWidth="1"/>
    <col min="11" max="11" width="6.7109375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.140625" bestFit="1" customWidth="1"/>
    <col min="21" max="21" width="3.42578125" bestFit="1" customWidth="1"/>
    <col min="22" max="22" width="7" bestFit="1" customWidth="1"/>
    <col min="23" max="23" width="6.28515625" bestFit="1" customWidth="1"/>
    <col min="24" max="24" width="4" bestFit="1" customWidth="1"/>
    <col min="25" max="25" width="2.85546875" bestFit="1" customWidth="1"/>
    <col min="26" max="26" width="7" bestFit="1" customWidth="1"/>
    <col min="27" max="27" width="6.28515625" bestFit="1" customWidth="1"/>
    <col min="28" max="28" width="4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6.5703125" bestFit="1" customWidth="1"/>
    <col min="35" max="35" width="6.2851562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6" bestFit="1" customWidth="1"/>
    <col min="44" max="44" width="4" bestFit="1" customWidth="1"/>
    <col min="45" max="45" width="3.7109375" bestFit="1" customWidth="1"/>
    <col min="46" max="46" width="7.140625" bestFit="1" customWidth="1"/>
    <col min="47" max="47" width="5.7109375" bestFit="1" customWidth="1"/>
    <col min="48" max="48" width="4" bestFit="1" customWidth="1"/>
    <col min="49" max="49" width="4.5703125" customWidth="1"/>
  </cols>
  <sheetData>
    <row r="1" spans="1:49" s="94" customFormat="1" ht="18" x14ac:dyDescent="0.25">
      <c r="A1" s="96" t="s">
        <v>243</v>
      </c>
      <c r="B1" s="416">
        <f>AT35+AV35</f>
        <v>7447.8700000000008</v>
      </c>
      <c r="C1" s="416"/>
      <c r="D1" s="97" t="s">
        <v>243</v>
      </c>
      <c r="E1" s="417">
        <f>AT35</f>
        <v>7159.8700000000008</v>
      </c>
      <c r="F1" s="417"/>
      <c r="G1" s="418" t="s">
        <v>155</v>
      </c>
      <c r="H1" s="418"/>
      <c r="I1" s="414">
        <f>MAX(B36,F36,J36,N36,R36,V36,Z36,AD36,AH36,AL36,AP36,AT36)</f>
        <v>133.09</v>
      </c>
      <c r="J1" s="414"/>
      <c r="K1" s="419" t="s">
        <v>163</v>
      </c>
      <c r="L1" s="419"/>
      <c r="M1" s="420">
        <f>MAX(B34,F34,J34,N34,R34,V34,Z34,AD34,AH34,AL34,AP34,AT34)</f>
        <v>919.33999999999992</v>
      </c>
      <c r="N1" s="420"/>
      <c r="O1" s="413" t="s">
        <v>194</v>
      </c>
      <c r="P1" s="413"/>
      <c r="Q1" s="413"/>
      <c r="R1" s="185">
        <f>MIN(B34,F34,J34,N34,R34,V34,Z34,AD34,AH34,AL34,AP34,AT34)</f>
        <v>235.4</v>
      </c>
      <c r="S1" s="98" t="s">
        <v>211</v>
      </c>
      <c r="T1" s="426">
        <f>IFERROR(AVERAGE(B37,F37,J37,N37,R37,V37,Z37,AD37,AH37,AL37,AP37,AT37),0)</f>
        <v>24.790436581655058</v>
      </c>
      <c r="U1" s="426"/>
      <c r="V1" s="436" t="s">
        <v>564</v>
      </c>
      <c r="W1" s="436"/>
      <c r="X1" s="436"/>
      <c r="Y1" s="436"/>
      <c r="Z1" s="436"/>
      <c r="AA1" s="99" t="s">
        <v>211</v>
      </c>
      <c r="AB1" s="415">
        <f>IFERROR(AVERAGE(C37,G37,K37,O37,S37,W37,AA37,AE37,AI37,AM37,AQ37,AU37),0)</f>
        <v>297.89439566472174</v>
      </c>
      <c r="AC1" s="415"/>
      <c r="AD1" s="425" t="s">
        <v>194</v>
      </c>
      <c r="AE1" s="425"/>
      <c r="AF1" s="428">
        <f>MIN(C34,G34,K34,O34,S34,W34,AA34,AE34,AI34,AM34,AQ34,AU34)</f>
        <v>1667</v>
      </c>
      <c r="AG1" s="428"/>
      <c r="AH1" s="429" t="s">
        <v>163</v>
      </c>
      <c r="AI1" s="429"/>
      <c r="AJ1" s="430">
        <f>MAX(C34,G34,K34,O34,S34,W34,AA34,AE34,AI34,AM34,AQ34,AU34)</f>
        <v>12660</v>
      </c>
      <c r="AK1" s="430"/>
      <c r="AL1" s="432" t="s">
        <v>156</v>
      </c>
      <c r="AM1" s="432"/>
      <c r="AN1" s="431">
        <f>MAX(C36,G36,K36,O36,S36,W36,AA36,AE36,AI36,AM36,AQ36,AU36)</f>
        <v>2480</v>
      </c>
      <c r="AO1" s="431"/>
      <c r="AP1" s="421" t="s">
        <v>366</v>
      </c>
      <c r="AQ1" s="421"/>
      <c r="AR1" s="422">
        <f>MAX(D36,H36,L36,P36,T36,X36,AB36,AF36,AJ36,AN36,AR36,AV36)</f>
        <v>8.6805555555555566E-2</v>
      </c>
      <c r="AS1" s="422"/>
      <c r="AT1" s="95" t="s">
        <v>2</v>
      </c>
      <c r="AU1" s="423">
        <f>AU35</f>
        <v>87052</v>
      </c>
      <c r="AV1" s="424"/>
      <c r="AW1" s="121"/>
    </row>
    <row r="2" spans="1:49" s="58" customFormat="1" ht="11.25" x14ac:dyDescent="0.2">
      <c r="A2" s="64" t="s">
        <v>197</v>
      </c>
      <c r="B2" s="49" t="s">
        <v>243</v>
      </c>
      <c r="C2" s="49" t="s">
        <v>2</v>
      </c>
      <c r="D2" s="49" t="s">
        <v>208</v>
      </c>
      <c r="E2" s="70" t="s">
        <v>198</v>
      </c>
      <c r="F2" s="49" t="s">
        <v>243</v>
      </c>
      <c r="G2" s="49" t="s">
        <v>2</v>
      </c>
      <c r="H2" s="49" t="s">
        <v>208</v>
      </c>
      <c r="I2" s="70" t="s">
        <v>200</v>
      </c>
      <c r="J2" s="49" t="s">
        <v>243</v>
      </c>
      <c r="K2" s="49" t="s">
        <v>2</v>
      </c>
      <c r="L2" s="49" t="s">
        <v>208</v>
      </c>
      <c r="M2" s="70" t="s">
        <v>199</v>
      </c>
      <c r="N2" s="49" t="s">
        <v>243</v>
      </c>
      <c r="O2" s="49" t="s">
        <v>2</v>
      </c>
      <c r="P2" s="49" t="s">
        <v>208</v>
      </c>
      <c r="Q2" s="70" t="s">
        <v>100</v>
      </c>
      <c r="R2" s="49" t="s">
        <v>243</v>
      </c>
      <c r="S2" s="49" t="s">
        <v>2</v>
      </c>
      <c r="T2" s="49" t="s">
        <v>208</v>
      </c>
      <c r="U2" s="70" t="s">
        <v>201</v>
      </c>
      <c r="V2" s="49" t="s">
        <v>243</v>
      </c>
      <c r="W2" s="49" t="s">
        <v>2</v>
      </c>
      <c r="X2" s="49" t="s">
        <v>208</v>
      </c>
      <c r="Y2" s="70" t="s">
        <v>202</v>
      </c>
      <c r="Z2" s="49" t="s">
        <v>243</v>
      </c>
      <c r="AA2" s="49" t="s">
        <v>2</v>
      </c>
      <c r="AB2" s="49" t="s">
        <v>208</v>
      </c>
      <c r="AC2" s="70" t="s">
        <v>203</v>
      </c>
      <c r="AD2" s="49" t="s">
        <v>243</v>
      </c>
      <c r="AE2" s="49" t="s">
        <v>2</v>
      </c>
      <c r="AF2" s="49" t="s">
        <v>208</v>
      </c>
      <c r="AG2" s="70" t="s">
        <v>204</v>
      </c>
      <c r="AH2" s="49" t="s">
        <v>243</v>
      </c>
      <c r="AI2" s="49" t="s">
        <v>2</v>
      </c>
      <c r="AJ2" s="49" t="s">
        <v>208</v>
      </c>
      <c r="AK2" s="70" t="s">
        <v>205</v>
      </c>
      <c r="AL2" s="49" t="s">
        <v>243</v>
      </c>
      <c r="AM2" s="49" t="s">
        <v>2</v>
      </c>
      <c r="AN2" s="49" t="s">
        <v>208</v>
      </c>
      <c r="AO2" s="70" t="s">
        <v>206</v>
      </c>
      <c r="AP2" s="49" t="s">
        <v>243</v>
      </c>
      <c r="AQ2" s="49" t="s">
        <v>2</v>
      </c>
      <c r="AR2" s="49" t="s">
        <v>208</v>
      </c>
      <c r="AS2" s="70" t="s">
        <v>207</v>
      </c>
      <c r="AT2" s="49" t="s">
        <v>243</v>
      </c>
      <c r="AU2" s="49" t="s">
        <v>2</v>
      </c>
      <c r="AV2" s="49" t="s">
        <v>208</v>
      </c>
      <c r="AW2" s="105"/>
    </row>
    <row r="3" spans="1:49" s="54" customFormat="1" ht="11.25" x14ac:dyDescent="0.2">
      <c r="A3" s="86">
        <v>1</v>
      </c>
      <c r="B3" s="59"/>
      <c r="C3" s="60"/>
      <c r="D3" s="186">
        <v>2.4999999999999998E-2</v>
      </c>
      <c r="E3" s="88">
        <v>1</v>
      </c>
      <c r="F3" s="59"/>
      <c r="G3" s="60"/>
      <c r="H3" s="186"/>
      <c r="I3" s="88">
        <v>1</v>
      </c>
      <c r="J3" s="59">
        <v>12</v>
      </c>
      <c r="K3" s="60">
        <v>100</v>
      </c>
      <c r="L3" s="186"/>
      <c r="M3" s="88">
        <v>1</v>
      </c>
      <c r="N3" s="59">
        <v>27.65</v>
      </c>
      <c r="O3" s="60">
        <v>454</v>
      </c>
      <c r="P3" s="186"/>
      <c r="Q3" s="88">
        <v>1</v>
      </c>
      <c r="R3" s="59">
        <v>10.1</v>
      </c>
      <c r="S3" s="60">
        <v>306</v>
      </c>
      <c r="T3" s="186"/>
      <c r="U3" s="88">
        <v>1</v>
      </c>
      <c r="V3" s="59"/>
      <c r="W3" s="60"/>
      <c r="X3" s="186">
        <v>4.1666666666666664E-2</v>
      </c>
      <c r="Y3" s="88">
        <v>1</v>
      </c>
      <c r="Z3" s="59">
        <v>16.7</v>
      </c>
      <c r="AA3" s="60">
        <v>325</v>
      </c>
      <c r="AB3" s="186"/>
      <c r="AC3" s="88">
        <v>1</v>
      </c>
      <c r="AD3" s="59">
        <v>17.649999999999999</v>
      </c>
      <c r="AE3" s="60">
        <v>85</v>
      </c>
      <c r="AF3" s="186"/>
      <c r="AG3" s="88">
        <v>1</v>
      </c>
      <c r="AH3" s="59">
        <v>20.82</v>
      </c>
      <c r="AI3" s="60">
        <v>132</v>
      </c>
      <c r="AJ3" s="186"/>
      <c r="AK3" s="88">
        <v>1</v>
      </c>
      <c r="AL3" s="59">
        <v>14.04</v>
      </c>
      <c r="AM3" s="60">
        <v>397</v>
      </c>
      <c r="AN3" s="186"/>
      <c r="AO3" s="88">
        <v>1</v>
      </c>
      <c r="AP3" s="59">
        <v>42.269999999999996</v>
      </c>
      <c r="AQ3" s="60">
        <v>584</v>
      </c>
      <c r="AR3" s="186"/>
      <c r="AS3" s="88">
        <v>1</v>
      </c>
      <c r="AT3" s="59">
        <v>21.490000000000002</v>
      </c>
      <c r="AU3" s="60">
        <v>121</v>
      </c>
      <c r="AV3" s="186"/>
      <c r="AW3" s="73"/>
    </row>
    <row r="4" spans="1:49" s="54" customFormat="1" ht="11.25" x14ac:dyDescent="0.2">
      <c r="A4" s="86">
        <f t="shared" ref="A4:A33" si="0">A3+1</f>
        <v>2</v>
      </c>
      <c r="B4" s="59">
        <v>15</v>
      </c>
      <c r="C4" s="60">
        <v>50</v>
      </c>
      <c r="D4" s="186"/>
      <c r="E4" s="88">
        <f t="shared" ref="E4:E30" si="1">E3+1</f>
        <v>2</v>
      </c>
      <c r="F4" s="59"/>
      <c r="G4" s="60"/>
      <c r="H4" s="186"/>
      <c r="I4" s="88">
        <f t="shared" ref="I4:I33" si="2">I3+1</f>
        <v>2</v>
      </c>
      <c r="J4" s="59">
        <v>42.599999999999994</v>
      </c>
      <c r="K4" s="60">
        <v>321</v>
      </c>
      <c r="L4" s="186"/>
      <c r="M4" s="88">
        <f t="shared" ref="M4:M32" si="3">M3+1</f>
        <v>2</v>
      </c>
      <c r="N4" s="59"/>
      <c r="O4" s="60"/>
      <c r="P4" s="186"/>
      <c r="Q4" s="88">
        <f t="shared" ref="Q4:Q33" si="4">Q3+1</f>
        <v>2</v>
      </c>
      <c r="R4" s="59">
        <v>10</v>
      </c>
      <c r="S4" s="60">
        <v>100</v>
      </c>
      <c r="T4" s="186"/>
      <c r="U4" s="88">
        <f t="shared" ref="U4:U32" si="5">U3+1</f>
        <v>2</v>
      </c>
      <c r="V4" s="59">
        <v>60.399999999999991</v>
      </c>
      <c r="W4" s="60">
        <v>1130</v>
      </c>
      <c r="X4" s="186"/>
      <c r="Y4" s="88">
        <f t="shared" ref="Y4:Y33" si="6">Y3+1</f>
        <v>2</v>
      </c>
      <c r="Z4" s="59">
        <v>20.82</v>
      </c>
      <c r="AA4" s="60">
        <v>473</v>
      </c>
      <c r="AB4" s="186"/>
      <c r="AC4" s="88">
        <f t="shared" ref="AC4:AC33" si="7">AC3+1</f>
        <v>2</v>
      </c>
      <c r="AD4" s="59">
        <v>20.5</v>
      </c>
      <c r="AE4" s="60">
        <v>245</v>
      </c>
      <c r="AF4" s="186"/>
      <c r="AG4" s="88">
        <f>AG3+1</f>
        <v>2</v>
      </c>
      <c r="AH4" s="59">
        <v>56.58</v>
      </c>
      <c r="AI4" s="60">
        <v>710</v>
      </c>
      <c r="AJ4" s="186"/>
      <c r="AK4" s="88">
        <f>AK3+1</f>
        <v>2</v>
      </c>
      <c r="AL4" s="59">
        <v>15.9</v>
      </c>
      <c r="AM4" s="60">
        <v>359</v>
      </c>
      <c r="AN4" s="186"/>
      <c r="AO4" s="88">
        <f>AO3+1</f>
        <v>2</v>
      </c>
      <c r="AP4" s="59">
        <v>30.6</v>
      </c>
      <c r="AQ4" s="60">
        <v>140</v>
      </c>
      <c r="AR4" s="186"/>
      <c r="AS4" s="88">
        <f>AS3+1</f>
        <v>2</v>
      </c>
      <c r="AT4" s="59">
        <v>16.2</v>
      </c>
      <c r="AU4" s="60">
        <v>262</v>
      </c>
      <c r="AV4" s="186"/>
      <c r="AW4" s="73"/>
    </row>
    <row r="5" spans="1:49" s="54" customFormat="1" ht="11.25" x14ac:dyDescent="0.2">
      <c r="A5" s="86">
        <f t="shared" si="0"/>
        <v>3</v>
      </c>
      <c r="B5" s="59">
        <v>15.86</v>
      </c>
      <c r="C5" s="60">
        <v>30</v>
      </c>
      <c r="D5" s="186"/>
      <c r="E5" s="88">
        <f t="shared" si="1"/>
        <v>3</v>
      </c>
      <c r="F5" s="59"/>
      <c r="G5" s="60"/>
      <c r="H5" s="186"/>
      <c r="I5" s="88">
        <f t="shared" si="2"/>
        <v>3</v>
      </c>
      <c r="J5" s="59">
        <v>62.3</v>
      </c>
      <c r="K5" s="60">
        <v>520</v>
      </c>
      <c r="L5" s="186"/>
      <c r="M5" s="88">
        <f t="shared" si="3"/>
        <v>3</v>
      </c>
      <c r="N5" s="59">
        <v>15.64</v>
      </c>
      <c r="O5" s="60">
        <v>20</v>
      </c>
      <c r="P5" s="186"/>
      <c r="Q5" s="88">
        <f t="shared" si="4"/>
        <v>3</v>
      </c>
      <c r="R5" s="59">
        <v>16.940000000000001</v>
      </c>
      <c r="S5" s="60">
        <v>365</v>
      </c>
      <c r="T5" s="186"/>
      <c r="U5" s="88">
        <f t="shared" si="5"/>
        <v>3</v>
      </c>
      <c r="V5" s="59">
        <v>19</v>
      </c>
      <c r="W5" s="60">
        <v>172</v>
      </c>
      <c r="X5" s="186"/>
      <c r="Y5" s="88">
        <f t="shared" si="6"/>
        <v>3</v>
      </c>
      <c r="Z5" s="59">
        <v>5.8</v>
      </c>
      <c r="AA5" s="60">
        <v>23</v>
      </c>
      <c r="AB5" s="186"/>
      <c r="AC5" s="88">
        <f t="shared" si="7"/>
        <v>3</v>
      </c>
      <c r="AD5" s="59">
        <v>44.76</v>
      </c>
      <c r="AE5" s="60">
        <v>523</v>
      </c>
      <c r="AF5" s="186"/>
      <c r="AG5" s="88">
        <f t="shared" ref="AG5:AG32" si="8">AG4+1</f>
        <v>3</v>
      </c>
      <c r="AH5" s="59">
        <v>47.2</v>
      </c>
      <c r="AI5" s="60">
        <v>1310</v>
      </c>
      <c r="AJ5" s="186"/>
      <c r="AK5" s="88">
        <f t="shared" ref="AK5:AK33" si="9">AK4+1</f>
        <v>3</v>
      </c>
      <c r="AL5" s="59">
        <v>65.8</v>
      </c>
      <c r="AM5" s="60">
        <v>835</v>
      </c>
      <c r="AN5" s="186"/>
      <c r="AO5" s="88">
        <f t="shared" ref="AO5:AO32" si="10">AO4+1</f>
        <v>3</v>
      </c>
      <c r="AP5" s="59">
        <v>26.259999999999998</v>
      </c>
      <c r="AQ5" s="60">
        <v>143</v>
      </c>
      <c r="AR5" s="186"/>
      <c r="AS5" s="88">
        <f t="shared" ref="AS5:AS33" si="11">AS4+1</f>
        <v>3</v>
      </c>
      <c r="AT5" s="59">
        <v>15.71</v>
      </c>
      <c r="AU5" s="60">
        <v>105</v>
      </c>
      <c r="AV5" s="186"/>
      <c r="AW5" s="73"/>
    </row>
    <row r="6" spans="1:49" s="54" customFormat="1" ht="11.25" x14ac:dyDescent="0.2">
      <c r="A6" s="86">
        <f t="shared" si="0"/>
        <v>4</v>
      </c>
      <c r="B6" s="59"/>
      <c r="C6" s="60"/>
      <c r="D6" s="186"/>
      <c r="E6" s="88">
        <f t="shared" si="1"/>
        <v>4</v>
      </c>
      <c r="F6" s="59"/>
      <c r="G6" s="60"/>
      <c r="H6" s="186"/>
      <c r="I6" s="88">
        <f t="shared" si="2"/>
        <v>4</v>
      </c>
      <c r="J6" s="59">
        <v>14.2</v>
      </c>
      <c r="K6" s="60">
        <v>165</v>
      </c>
      <c r="L6" s="186"/>
      <c r="M6" s="88">
        <f t="shared" si="3"/>
        <v>4</v>
      </c>
      <c r="N6" s="59">
        <v>18.8</v>
      </c>
      <c r="O6" s="60">
        <v>120</v>
      </c>
      <c r="P6" s="186"/>
      <c r="Q6" s="88">
        <f t="shared" si="4"/>
        <v>4</v>
      </c>
      <c r="R6" s="59"/>
      <c r="S6" s="60"/>
      <c r="T6" s="186">
        <v>2.8472222222222222E-2</v>
      </c>
      <c r="U6" s="88">
        <f t="shared" si="5"/>
        <v>4</v>
      </c>
      <c r="V6" s="59">
        <v>21</v>
      </c>
      <c r="W6" s="60">
        <v>150</v>
      </c>
      <c r="X6" s="186"/>
      <c r="Y6" s="88">
        <f t="shared" si="6"/>
        <v>4</v>
      </c>
      <c r="Z6" s="59"/>
      <c r="AA6" s="60"/>
      <c r="AB6" s="186">
        <v>8.6805555555555566E-2</v>
      </c>
      <c r="AC6" s="88">
        <f t="shared" si="7"/>
        <v>4</v>
      </c>
      <c r="AD6" s="59">
        <v>16.850000000000001</v>
      </c>
      <c r="AE6" s="60">
        <v>536</v>
      </c>
      <c r="AF6" s="186"/>
      <c r="AG6" s="88">
        <f t="shared" si="8"/>
        <v>4</v>
      </c>
      <c r="AH6" s="59">
        <v>85.45</v>
      </c>
      <c r="AI6" s="60">
        <v>1110</v>
      </c>
      <c r="AJ6" s="186"/>
      <c r="AK6" s="88">
        <f t="shared" si="9"/>
        <v>4</v>
      </c>
      <c r="AL6" s="59">
        <v>6.7</v>
      </c>
      <c r="AM6" s="60">
        <v>38</v>
      </c>
      <c r="AN6" s="186"/>
      <c r="AO6" s="88">
        <f t="shared" si="10"/>
        <v>4</v>
      </c>
      <c r="AP6" s="59">
        <v>11.889999999999999</v>
      </c>
      <c r="AQ6" s="60">
        <v>44</v>
      </c>
      <c r="AR6" s="186"/>
      <c r="AS6" s="88">
        <f t="shared" si="11"/>
        <v>4</v>
      </c>
      <c r="AT6" s="59">
        <v>15.370000000000001</v>
      </c>
      <c r="AU6" s="60">
        <v>64</v>
      </c>
      <c r="AV6" s="186"/>
      <c r="AW6" s="73"/>
    </row>
    <row r="7" spans="1:49" s="54" customFormat="1" ht="11.25" x14ac:dyDescent="0.2">
      <c r="A7" s="86">
        <f t="shared" si="0"/>
        <v>5</v>
      </c>
      <c r="B7" s="59">
        <v>30.700000000000003</v>
      </c>
      <c r="C7" s="60">
        <v>389</v>
      </c>
      <c r="D7" s="186"/>
      <c r="E7" s="88">
        <f t="shared" si="1"/>
        <v>5</v>
      </c>
      <c r="F7" s="59">
        <v>12</v>
      </c>
      <c r="G7" s="60">
        <v>80</v>
      </c>
      <c r="H7" s="186"/>
      <c r="I7" s="88">
        <f t="shared" si="2"/>
        <v>5</v>
      </c>
      <c r="J7" s="59">
        <v>24.17</v>
      </c>
      <c r="K7" s="60">
        <v>93</v>
      </c>
      <c r="L7" s="186"/>
      <c r="M7" s="88">
        <f t="shared" si="3"/>
        <v>5</v>
      </c>
      <c r="N7" s="59">
        <v>21.97</v>
      </c>
      <c r="O7" s="60">
        <v>191</v>
      </c>
      <c r="P7" s="186"/>
      <c r="Q7" s="88">
        <f t="shared" si="4"/>
        <v>5</v>
      </c>
      <c r="R7" s="59">
        <v>46.580000000000005</v>
      </c>
      <c r="S7" s="60">
        <v>731</v>
      </c>
      <c r="T7" s="186"/>
      <c r="U7" s="88">
        <f t="shared" si="5"/>
        <v>5</v>
      </c>
      <c r="V7" s="59">
        <v>18.399999999999999</v>
      </c>
      <c r="W7" s="60">
        <v>380</v>
      </c>
      <c r="X7" s="186"/>
      <c r="Y7" s="88">
        <f t="shared" si="6"/>
        <v>5</v>
      </c>
      <c r="Z7" s="59">
        <v>15.71</v>
      </c>
      <c r="AA7" s="60">
        <v>345</v>
      </c>
      <c r="AB7" s="186"/>
      <c r="AC7" s="88">
        <f t="shared" si="7"/>
        <v>5</v>
      </c>
      <c r="AD7" s="59">
        <v>14.6</v>
      </c>
      <c r="AE7" s="60">
        <v>30</v>
      </c>
      <c r="AF7" s="186"/>
      <c r="AG7" s="88">
        <f t="shared" si="8"/>
        <v>5</v>
      </c>
      <c r="AH7" s="59">
        <v>53.300000000000004</v>
      </c>
      <c r="AI7" s="60">
        <v>640</v>
      </c>
      <c r="AJ7" s="186"/>
      <c r="AK7" s="88">
        <f t="shared" si="9"/>
        <v>5</v>
      </c>
      <c r="AL7" s="59">
        <v>38.700000000000003</v>
      </c>
      <c r="AM7" s="60">
        <v>90</v>
      </c>
      <c r="AN7" s="186"/>
      <c r="AO7" s="88">
        <f t="shared" si="10"/>
        <v>5</v>
      </c>
      <c r="AP7" s="59">
        <v>15.91</v>
      </c>
      <c r="AQ7" s="60">
        <v>104</v>
      </c>
      <c r="AR7" s="186"/>
      <c r="AS7" s="88">
        <f t="shared" si="11"/>
        <v>5</v>
      </c>
      <c r="AT7" s="59">
        <v>10.4</v>
      </c>
      <c r="AU7" s="60">
        <v>50</v>
      </c>
      <c r="AV7" s="186"/>
      <c r="AW7" s="73"/>
    </row>
    <row r="8" spans="1:49" s="54" customFormat="1" ht="11.25" x14ac:dyDescent="0.2">
      <c r="A8" s="86">
        <f t="shared" si="0"/>
        <v>6</v>
      </c>
      <c r="B8" s="59">
        <v>37.299999999999997</v>
      </c>
      <c r="C8" s="60">
        <v>270</v>
      </c>
      <c r="D8" s="186"/>
      <c r="E8" s="88">
        <f t="shared" si="1"/>
        <v>6</v>
      </c>
      <c r="F8" s="59"/>
      <c r="G8" s="60"/>
      <c r="H8" s="186"/>
      <c r="I8" s="88">
        <f t="shared" si="2"/>
        <v>6</v>
      </c>
      <c r="J8" s="59">
        <v>27.72</v>
      </c>
      <c r="K8" s="60">
        <v>484</v>
      </c>
      <c r="L8" s="186"/>
      <c r="M8" s="88">
        <f t="shared" si="3"/>
        <v>6</v>
      </c>
      <c r="N8" s="59"/>
      <c r="O8" s="60"/>
      <c r="P8" s="186"/>
      <c r="Q8" s="88">
        <f t="shared" si="4"/>
        <v>6</v>
      </c>
      <c r="R8" s="59">
        <v>11.5</v>
      </c>
      <c r="S8" s="60">
        <v>75</v>
      </c>
      <c r="T8" s="186"/>
      <c r="U8" s="88">
        <f t="shared" si="5"/>
        <v>6</v>
      </c>
      <c r="V8" s="59">
        <v>15.86</v>
      </c>
      <c r="W8" s="60">
        <v>30</v>
      </c>
      <c r="X8" s="186"/>
      <c r="Y8" s="88">
        <f t="shared" si="6"/>
        <v>6</v>
      </c>
      <c r="Z8" s="59">
        <v>100.98</v>
      </c>
      <c r="AA8" s="60">
        <v>1141</v>
      </c>
      <c r="AB8" s="186"/>
      <c r="AC8" s="88">
        <f t="shared" si="7"/>
        <v>6</v>
      </c>
      <c r="AD8" s="59">
        <v>23.9</v>
      </c>
      <c r="AE8" s="60">
        <v>325</v>
      </c>
      <c r="AF8" s="186"/>
      <c r="AG8" s="88">
        <f t="shared" si="8"/>
        <v>6</v>
      </c>
      <c r="AH8" s="59">
        <v>51</v>
      </c>
      <c r="AI8" s="60">
        <v>875</v>
      </c>
      <c r="AJ8" s="186"/>
      <c r="AK8" s="88">
        <f t="shared" si="9"/>
        <v>6</v>
      </c>
      <c r="AL8" s="59">
        <v>37.400000000000006</v>
      </c>
      <c r="AM8" s="60">
        <v>173</v>
      </c>
      <c r="AN8" s="186">
        <v>3.5416666666666666E-2</v>
      </c>
      <c r="AO8" s="88">
        <f t="shared" si="10"/>
        <v>6</v>
      </c>
      <c r="AP8" s="59">
        <v>15.27</v>
      </c>
      <c r="AQ8" s="60">
        <v>245</v>
      </c>
      <c r="AR8" s="186"/>
      <c r="AS8" s="88">
        <f t="shared" si="11"/>
        <v>6</v>
      </c>
      <c r="AT8" s="59">
        <v>15.1</v>
      </c>
      <c r="AU8" s="60">
        <v>55</v>
      </c>
      <c r="AV8" s="186"/>
      <c r="AW8" s="73"/>
    </row>
    <row r="9" spans="1:49" s="54" customFormat="1" ht="11.25" x14ac:dyDescent="0.2">
      <c r="A9" s="86">
        <f t="shared" si="0"/>
        <v>7</v>
      </c>
      <c r="B9" s="59">
        <v>14.5</v>
      </c>
      <c r="C9" s="60">
        <v>10</v>
      </c>
      <c r="D9" s="186"/>
      <c r="E9" s="88">
        <f t="shared" si="1"/>
        <v>7</v>
      </c>
      <c r="F9" s="59"/>
      <c r="G9" s="60"/>
      <c r="H9" s="186">
        <v>4.1666666666666664E-2</v>
      </c>
      <c r="I9" s="88">
        <f t="shared" si="2"/>
        <v>7</v>
      </c>
      <c r="J9" s="59">
        <v>17.64</v>
      </c>
      <c r="K9" s="60">
        <v>58</v>
      </c>
      <c r="L9" s="186"/>
      <c r="M9" s="88">
        <f t="shared" si="3"/>
        <v>7</v>
      </c>
      <c r="N9" s="59"/>
      <c r="O9" s="60"/>
      <c r="P9" s="186"/>
      <c r="Q9" s="88">
        <f t="shared" si="4"/>
        <v>7</v>
      </c>
      <c r="R9" s="59"/>
      <c r="S9" s="60"/>
      <c r="T9" s="186"/>
      <c r="U9" s="88">
        <f t="shared" si="5"/>
        <v>7</v>
      </c>
      <c r="V9" s="59">
        <v>15.27</v>
      </c>
      <c r="W9" s="60">
        <v>520</v>
      </c>
      <c r="X9" s="186"/>
      <c r="Y9" s="88">
        <f t="shared" si="6"/>
        <v>7</v>
      </c>
      <c r="Z9" s="59">
        <v>63.5</v>
      </c>
      <c r="AA9" s="60">
        <v>648</v>
      </c>
      <c r="AB9" s="186"/>
      <c r="AC9" s="88">
        <f t="shared" si="7"/>
        <v>7</v>
      </c>
      <c r="AD9" s="59">
        <v>31.85</v>
      </c>
      <c r="AE9" s="60">
        <v>438</v>
      </c>
      <c r="AF9" s="186"/>
      <c r="AG9" s="88">
        <f t="shared" si="8"/>
        <v>7</v>
      </c>
      <c r="AH9" s="59">
        <v>14.2</v>
      </c>
      <c r="AI9" s="60">
        <v>40</v>
      </c>
      <c r="AJ9" s="186"/>
      <c r="AK9" s="88">
        <f t="shared" si="9"/>
        <v>7</v>
      </c>
      <c r="AL9" s="59">
        <v>26.78</v>
      </c>
      <c r="AM9" s="60">
        <v>425</v>
      </c>
      <c r="AN9" s="186"/>
      <c r="AO9" s="88">
        <f t="shared" si="10"/>
        <v>7</v>
      </c>
      <c r="AP9" s="59">
        <v>13.58</v>
      </c>
      <c r="AQ9" s="60">
        <v>58</v>
      </c>
      <c r="AR9" s="186"/>
      <c r="AS9" s="88">
        <f t="shared" si="11"/>
        <v>7</v>
      </c>
      <c r="AT9" s="59">
        <v>24.66</v>
      </c>
      <c r="AU9" s="60">
        <v>25</v>
      </c>
      <c r="AV9" s="186"/>
      <c r="AW9" s="73"/>
    </row>
    <row r="10" spans="1:49" s="54" customFormat="1" ht="11.25" x14ac:dyDescent="0.2">
      <c r="A10" s="86">
        <f t="shared" si="0"/>
        <v>8</v>
      </c>
      <c r="B10" s="59">
        <v>10.1</v>
      </c>
      <c r="C10" s="60">
        <v>65</v>
      </c>
      <c r="D10" s="186"/>
      <c r="E10" s="88">
        <f t="shared" si="1"/>
        <v>8</v>
      </c>
      <c r="F10" s="59">
        <v>12.7</v>
      </c>
      <c r="G10" s="60">
        <v>90</v>
      </c>
      <c r="H10" s="186"/>
      <c r="I10" s="88">
        <f t="shared" si="2"/>
        <v>8</v>
      </c>
      <c r="J10" s="59">
        <v>14.3</v>
      </c>
      <c r="K10" s="60">
        <v>120</v>
      </c>
      <c r="L10" s="186"/>
      <c r="M10" s="88">
        <f t="shared" si="3"/>
        <v>8</v>
      </c>
      <c r="N10" s="59">
        <v>18.8</v>
      </c>
      <c r="O10" s="60">
        <v>75</v>
      </c>
      <c r="P10" s="186"/>
      <c r="Q10" s="88">
        <f t="shared" si="4"/>
        <v>8</v>
      </c>
      <c r="R10" s="59"/>
      <c r="S10" s="60"/>
      <c r="T10" s="186">
        <v>2.2222222222222223E-2</v>
      </c>
      <c r="U10" s="88">
        <f t="shared" si="5"/>
        <v>8</v>
      </c>
      <c r="V10" s="59"/>
      <c r="W10" s="60"/>
      <c r="X10" s="186"/>
      <c r="Y10" s="88">
        <f t="shared" si="6"/>
        <v>8</v>
      </c>
      <c r="Z10" s="59">
        <v>19</v>
      </c>
      <c r="AA10" s="60">
        <v>425</v>
      </c>
      <c r="AB10" s="186"/>
      <c r="AC10" s="88">
        <f t="shared" si="7"/>
        <v>8</v>
      </c>
      <c r="AD10" s="59">
        <v>11.5</v>
      </c>
      <c r="AE10" s="60">
        <v>53</v>
      </c>
      <c r="AF10" s="186"/>
      <c r="AG10" s="88">
        <f t="shared" si="8"/>
        <v>8</v>
      </c>
      <c r="AH10" s="59">
        <v>21.9</v>
      </c>
      <c r="AI10" s="54">
        <v>80</v>
      </c>
      <c r="AJ10" s="186"/>
      <c r="AK10" s="88">
        <f t="shared" si="9"/>
        <v>8</v>
      </c>
      <c r="AL10" s="59">
        <v>14.91</v>
      </c>
      <c r="AM10" s="60">
        <v>97</v>
      </c>
      <c r="AN10" s="186"/>
      <c r="AO10" s="88">
        <f t="shared" si="10"/>
        <v>8</v>
      </c>
      <c r="AP10" s="59">
        <v>18.7</v>
      </c>
      <c r="AQ10" s="60">
        <v>60</v>
      </c>
      <c r="AR10" s="186"/>
      <c r="AS10" s="88">
        <f t="shared" si="11"/>
        <v>8</v>
      </c>
      <c r="AT10" s="59">
        <v>60.21</v>
      </c>
      <c r="AU10" s="60">
        <v>510</v>
      </c>
      <c r="AV10" s="186"/>
      <c r="AW10" s="73"/>
    </row>
    <row r="11" spans="1:49" s="54" customFormat="1" ht="11.25" x14ac:dyDescent="0.2">
      <c r="A11" s="86">
        <f t="shared" si="0"/>
        <v>9</v>
      </c>
      <c r="B11" s="59"/>
      <c r="C11" s="60"/>
      <c r="D11" s="186"/>
      <c r="E11" s="88">
        <f t="shared" si="1"/>
        <v>9</v>
      </c>
      <c r="F11" s="59">
        <v>11.7</v>
      </c>
      <c r="G11" s="60">
        <v>100</v>
      </c>
      <c r="H11" s="186">
        <v>2.4999999999999998E-2</v>
      </c>
      <c r="I11" s="88">
        <f t="shared" si="2"/>
        <v>9</v>
      </c>
      <c r="J11" s="59">
        <v>28.4</v>
      </c>
      <c r="K11" s="60">
        <v>215</v>
      </c>
      <c r="L11" s="186"/>
      <c r="M11" s="88">
        <f t="shared" si="3"/>
        <v>9</v>
      </c>
      <c r="N11" s="59"/>
      <c r="O11" s="60"/>
      <c r="P11" s="186"/>
      <c r="Q11" s="88">
        <f t="shared" si="4"/>
        <v>9</v>
      </c>
      <c r="R11" s="59"/>
      <c r="S11" s="60"/>
      <c r="T11" s="186"/>
      <c r="U11" s="88">
        <f t="shared" si="5"/>
        <v>9</v>
      </c>
      <c r="V11" s="59">
        <v>96.21</v>
      </c>
      <c r="W11" s="60">
        <v>1232</v>
      </c>
      <c r="X11" s="186"/>
      <c r="Y11" s="88">
        <f t="shared" si="6"/>
        <v>9</v>
      </c>
      <c r="Z11" s="59">
        <v>11.4</v>
      </c>
      <c r="AA11" s="60">
        <v>68</v>
      </c>
      <c r="AB11" s="186"/>
      <c r="AC11" s="88">
        <f t="shared" si="7"/>
        <v>9</v>
      </c>
      <c r="AD11" s="59">
        <v>15.71</v>
      </c>
      <c r="AE11" s="60">
        <v>345</v>
      </c>
      <c r="AF11" s="186"/>
      <c r="AG11" s="88">
        <f t="shared" si="8"/>
        <v>9</v>
      </c>
      <c r="AH11" s="59">
        <v>39.47</v>
      </c>
      <c r="AI11" s="60">
        <v>244</v>
      </c>
      <c r="AJ11" s="186"/>
      <c r="AK11" s="88">
        <f t="shared" si="9"/>
        <v>9</v>
      </c>
      <c r="AL11" s="59">
        <v>19.5</v>
      </c>
      <c r="AM11" s="60">
        <v>450</v>
      </c>
      <c r="AN11" s="186"/>
      <c r="AO11" s="88">
        <f t="shared" si="10"/>
        <v>9</v>
      </c>
      <c r="AP11" s="59">
        <v>28.91</v>
      </c>
      <c r="AQ11" s="60">
        <v>163</v>
      </c>
      <c r="AR11" s="186"/>
      <c r="AS11" s="88">
        <f t="shared" si="11"/>
        <v>9</v>
      </c>
      <c r="AT11" s="59">
        <v>8.6100000000000012</v>
      </c>
      <c r="AU11" s="60">
        <v>35</v>
      </c>
      <c r="AV11" s="186"/>
      <c r="AW11" s="73"/>
    </row>
    <row r="12" spans="1:49" s="54" customFormat="1" ht="11.25" x14ac:dyDescent="0.2">
      <c r="A12" s="86">
        <f t="shared" si="0"/>
        <v>10</v>
      </c>
      <c r="B12" s="59">
        <v>11.1</v>
      </c>
      <c r="C12" s="60">
        <v>65</v>
      </c>
      <c r="D12" s="186"/>
      <c r="E12" s="88">
        <f t="shared" si="1"/>
        <v>10</v>
      </c>
      <c r="F12" s="59">
        <v>36.299999999999997</v>
      </c>
      <c r="G12" s="60">
        <v>446</v>
      </c>
      <c r="H12" s="186"/>
      <c r="I12" s="88">
        <f t="shared" si="2"/>
        <v>10</v>
      </c>
      <c r="J12" s="59">
        <v>32.72</v>
      </c>
      <c r="K12" s="60">
        <v>88</v>
      </c>
      <c r="L12" s="186"/>
      <c r="M12" s="88">
        <f t="shared" si="3"/>
        <v>10</v>
      </c>
      <c r="N12" s="59">
        <v>22.3</v>
      </c>
      <c r="O12" s="60">
        <v>75</v>
      </c>
      <c r="P12" s="186"/>
      <c r="Q12" s="88">
        <f t="shared" si="4"/>
        <v>10</v>
      </c>
      <c r="R12" s="59"/>
      <c r="S12" s="60"/>
      <c r="T12" s="186"/>
      <c r="U12" s="88">
        <f t="shared" si="5"/>
        <v>10</v>
      </c>
      <c r="V12" s="59"/>
      <c r="W12" s="60"/>
      <c r="X12" s="186"/>
      <c r="Y12" s="88">
        <f t="shared" si="6"/>
        <v>10</v>
      </c>
      <c r="Z12" s="59">
        <v>19</v>
      </c>
      <c r="AA12" s="60">
        <v>425</v>
      </c>
      <c r="AB12" s="186"/>
      <c r="AC12" s="88">
        <f t="shared" si="7"/>
        <v>10</v>
      </c>
      <c r="AD12" s="59">
        <v>54.06</v>
      </c>
      <c r="AE12" s="60">
        <v>600</v>
      </c>
      <c r="AF12" s="186"/>
      <c r="AG12" s="88">
        <f t="shared" si="8"/>
        <v>10</v>
      </c>
      <c r="AH12" s="59">
        <v>31.63</v>
      </c>
      <c r="AI12" s="54">
        <v>605</v>
      </c>
      <c r="AJ12" s="186"/>
      <c r="AK12" s="88">
        <f t="shared" si="9"/>
        <v>10</v>
      </c>
      <c r="AL12" s="59">
        <v>6.5500000000000007</v>
      </c>
      <c r="AM12" s="60">
        <v>38</v>
      </c>
      <c r="AN12" s="186"/>
      <c r="AO12" s="88">
        <f t="shared" si="10"/>
        <v>10</v>
      </c>
      <c r="AP12" s="59">
        <v>11</v>
      </c>
      <c r="AQ12" s="60">
        <v>25</v>
      </c>
      <c r="AR12" s="186"/>
      <c r="AS12" s="88">
        <f t="shared" si="11"/>
        <v>10</v>
      </c>
      <c r="AT12" s="59">
        <v>14.72</v>
      </c>
      <c r="AU12" s="60">
        <v>70</v>
      </c>
      <c r="AV12" s="186"/>
      <c r="AW12" s="73"/>
    </row>
    <row r="13" spans="1:49" s="54" customFormat="1" ht="11.25" x14ac:dyDescent="0.2">
      <c r="A13" s="86">
        <f t="shared" si="0"/>
        <v>11</v>
      </c>
      <c r="B13" s="59">
        <v>10.199999999999999</v>
      </c>
      <c r="C13" s="60">
        <v>65</v>
      </c>
      <c r="D13" s="186"/>
      <c r="E13" s="88">
        <f t="shared" si="1"/>
        <v>11</v>
      </c>
      <c r="F13" s="59">
        <v>12</v>
      </c>
      <c r="G13" s="60">
        <v>60</v>
      </c>
      <c r="H13" s="186"/>
      <c r="I13" s="88">
        <f t="shared" si="2"/>
        <v>11</v>
      </c>
      <c r="J13" s="59">
        <v>10</v>
      </c>
      <c r="K13" s="60">
        <v>100</v>
      </c>
      <c r="L13" s="186"/>
      <c r="M13" s="88">
        <f t="shared" si="3"/>
        <v>11</v>
      </c>
      <c r="N13" s="59"/>
      <c r="O13" s="60"/>
      <c r="P13" s="186"/>
      <c r="Q13" s="88">
        <f t="shared" si="4"/>
        <v>11</v>
      </c>
      <c r="R13" s="59"/>
      <c r="S13" s="60"/>
      <c r="T13" s="186"/>
      <c r="U13" s="88">
        <f t="shared" si="5"/>
        <v>11</v>
      </c>
      <c r="V13" s="59">
        <v>15.3</v>
      </c>
      <c r="W13" s="60">
        <v>265</v>
      </c>
      <c r="X13" s="186"/>
      <c r="Y13" s="88">
        <f t="shared" si="6"/>
        <v>11</v>
      </c>
      <c r="Z13" s="59">
        <v>21.3</v>
      </c>
      <c r="AA13" s="60">
        <v>365</v>
      </c>
      <c r="AB13" s="186"/>
      <c r="AC13" s="88">
        <f t="shared" si="7"/>
        <v>11</v>
      </c>
      <c r="AD13" s="59">
        <v>38.700000000000003</v>
      </c>
      <c r="AE13" s="60">
        <v>587</v>
      </c>
      <c r="AF13" s="186"/>
      <c r="AG13" s="88">
        <f t="shared" si="8"/>
        <v>11</v>
      </c>
      <c r="AH13" s="59">
        <v>41.1</v>
      </c>
      <c r="AI13" s="60">
        <v>120</v>
      </c>
      <c r="AJ13" s="186"/>
      <c r="AK13" s="88">
        <f t="shared" si="9"/>
        <v>11</v>
      </c>
      <c r="AL13" s="59">
        <v>12.5</v>
      </c>
      <c r="AM13" s="60">
        <v>35</v>
      </c>
      <c r="AN13" s="186"/>
      <c r="AO13" s="88">
        <f t="shared" si="10"/>
        <v>11</v>
      </c>
      <c r="AP13" s="59">
        <v>13.299999999999999</v>
      </c>
      <c r="AQ13" s="60">
        <v>52</v>
      </c>
      <c r="AR13" s="186"/>
      <c r="AS13" s="88">
        <f t="shared" si="11"/>
        <v>11</v>
      </c>
      <c r="AT13" s="59">
        <v>20</v>
      </c>
      <c r="AU13" s="60">
        <v>120</v>
      </c>
      <c r="AV13" s="186"/>
      <c r="AW13" s="73"/>
    </row>
    <row r="14" spans="1:49" s="54" customFormat="1" ht="11.25" x14ac:dyDescent="0.2">
      <c r="A14" s="86">
        <f t="shared" si="0"/>
        <v>12</v>
      </c>
      <c r="B14" s="59"/>
      <c r="C14" s="60"/>
      <c r="D14" s="186"/>
      <c r="E14" s="88">
        <f t="shared" si="1"/>
        <v>12</v>
      </c>
      <c r="F14" s="59"/>
      <c r="G14" s="60"/>
      <c r="H14" s="186"/>
      <c r="I14" s="88">
        <f t="shared" si="2"/>
        <v>12</v>
      </c>
      <c r="J14" s="59"/>
      <c r="K14" s="60"/>
      <c r="L14" s="186">
        <v>2.0833333333333332E-2</v>
      </c>
      <c r="M14" s="88">
        <f t="shared" si="3"/>
        <v>12</v>
      </c>
      <c r="N14" s="59">
        <v>21.42</v>
      </c>
      <c r="O14" s="60">
        <v>166</v>
      </c>
      <c r="P14" s="186"/>
      <c r="Q14" s="88">
        <f t="shared" si="4"/>
        <v>12</v>
      </c>
      <c r="R14" s="59"/>
      <c r="S14" s="60"/>
      <c r="T14" s="186"/>
      <c r="U14" s="88">
        <f t="shared" si="5"/>
        <v>12</v>
      </c>
      <c r="V14" s="59">
        <v>22.29</v>
      </c>
      <c r="W14" s="60">
        <v>400</v>
      </c>
      <c r="X14" s="186"/>
      <c r="Y14" s="88">
        <f t="shared" si="6"/>
        <v>12</v>
      </c>
      <c r="Z14" s="59">
        <v>15.33</v>
      </c>
      <c r="AA14" s="60">
        <v>392</v>
      </c>
      <c r="AB14" s="186"/>
      <c r="AC14" s="88">
        <f t="shared" si="7"/>
        <v>12</v>
      </c>
      <c r="AD14" s="59">
        <v>11</v>
      </c>
      <c r="AE14" s="91">
        <v>30</v>
      </c>
      <c r="AF14" s="186"/>
      <c r="AG14" s="88">
        <f t="shared" si="8"/>
        <v>12</v>
      </c>
      <c r="AH14" s="59">
        <v>7.8</v>
      </c>
      <c r="AI14" s="60">
        <v>5</v>
      </c>
      <c r="AJ14" s="186"/>
      <c r="AK14" s="88">
        <f t="shared" si="9"/>
        <v>12</v>
      </c>
      <c r="AL14" s="59">
        <v>9.86</v>
      </c>
      <c r="AM14" s="60">
        <v>58</v>
      </c>
      <c r="AN14" s="186"/>
      <c r="AO14" s="88">
        <f t="shared" si="10"/>
        <v>12</v>
      </c>
      <c r="AP14" s="59">
        <v>15.71</v>
      </c>
      <c r="AQ14" s="60">
        <v>345</v>
      </c>
      <c r="AR14" s="186"/>
      <c r="AS14" s="88">
        <f t="shared" si="11"/>
        <v>12</v>
      </c>
      <c r="AT14" s="59">
        <v>8.98</v>
      </c>
      <c r="AU14" s="60">
        <v>37</v>
      </c>
      <c r="AV14" s="186"/>
      <c r="AW14" s="73"/>
    </row>
    <row r="15" spans="1:49" s="54" customFormat="1" ht="11.25" x14ac:dyDescent="0.2">
      <c r="A15" s="86">
        <f t="shared" si="0"/>
        <v>13</v>
      </c>
      <c r="B15" s="59">
        <v>19</v>
      </c>
      <c r="C15" s="60">
        <v>400</v>
      </c>
      <c r="D15" s="186"/>
      <c r="E15" s="88">
        <f t="shared" si="1"/>
        <v>13</v>
      </c>
      <c r="F15" s="59">
        <v>17.600000000000001</v>
      </c>
      <c r="G15" s="60">
        <v>189</v>
      </c>
      <c r="H15" s="186"/>
      <c r="I15" s="88">
        <f t="shared" si="2"/>
        <v>13</v>
      </c>
      <c r="J15" s="59"/>
      <c r="K15" s="60"/>
      <c r="L15" s="186"/>
      <c r="M15" s="88">
        <f t="shared" si="3"/>
        <v>13</v>
      </c>
      <c r="N15" s="59"/>
      <c r="O15" s="60"/>
      <c r="P15" s="186"/>
      <c r="Q15" s="88">
        <f t="shared" si="4"/>
        <v>13</v>
      </c>
      <c r="R15" s="59"/>
      <c r="S15" s="60"/>
      <c r="T15" s="186"/>
      <c r="U15" s="88">
        <f t="shared" si="5"/>
        <v>13</v>
      </c>
      <c r="V15" s="59">
        <v>10.7</v>
      </c>
      <c r="W15" s="60">
        <v>75</v>
      </c>
      <c r="X15" s="186"/>
      <c r="Y15" s="88">
        <f t="shared" si="6"/>
        <v>13</v>
      </c>
      <c r="Z15" s="59">
        <v>85.6</v>
      </c>
      <c r="AA15" s="60">
        <v>2480</v>
      </c>
      <c r="AB15" s="186"/>
      <c r="AC15" s="88">
        <f t="shared" si="7"/>
        <v>13</v>
      </c>
      <c r="AD15" s="59">
        <v>13.9</v>
      </c>
      <c r="AE15" s="60">
        <v>285</v>
      </c>
      <c r="AF15" s="186"/>
      <c r="AG15" s="88">
        <f t="shared" si="8"/>
        <v>13</v>
      </c>
      <c r="AH15" s="59">
        <v>12.120000000000001</v>
      </c>
      <c r="AI15" s="60">
        <v>60</v>
      </c>
      <c r="AJ15" s="186"/>
      <c r="AK15" s="88">
        <f t="shared" si="9"/>
        <v>13</v>
      </c>
      <c r="AL15" s="59">
        <v>35.809999999999995</v>
      </c>
      <c r="AM15" s="60">
        <v>300</v>
      </c>
      <c r="AN15" s="186"/>
      <c r="AO15" s="88">
        <f t="shared" si="10"/>
        <v>13</v>
      </c>
      <c r="AP15" s="59">
        <v>12.93</v>
      </c>
      <c r="AQ15" s="60">
        <v>54</v>
      </c>
      <c r="AR15" s="186"/>
      <c r="AS15" s="88">
        <f t="shared" si="11"/>
        <v>13</v>
      </c>
      <c r="AT15" s="59"/>
      <c r="AU15" s="60"/>
      <c r="AV15" s="186"/>
      <c r="AW15" s="73"/>
    </row>
    <row r="16" spans="1:49" s="54" customFormat="1" ht="11.25" x14ac:dyDescent="0.2">
      <c r="A16" s="86">
        <f t="shared" si="0"/>
        <v>14</v>
      </c>
      <c r="B16" s="59">
        <v>20</v>
      </c>
      <c r="C16" s="60">
        <v>600</v>
      </c>
      <c r="D16" s="186"/>
      <c r="E16" s="88">
        <f t="shared" si="1"/>
        <v>14</v>
      </c>
      <c r="F16" s="59">
        <v>11.9</v>
      </c>
      <c r="G16" s="60">
        <v>63</v>
      </c>
      <c r="H16" s="186"/>
      <c r="I16" s="88">
        <f t="shared" si="2"/>
        <v>14</v>
      </c>
      <c r="J16" s="59">
        <v>11.6</v>
      </c>
      <c r="K16" s="60">
        <v>30</v>
      </c>
      <c r="L16" s="186"/>
      <c r="M16" s="88">
        <f t="shared" si="3"/>
        <v>14</v>
      </c>
      <c r="N16" s="59">
        <v>82.41</v>
      </c>
      <c r="O16" s="60">
        <v>1128</v>
      </c>
      <c r="P16" s="186"/>
      <c r="Q16" s="88">
        <f t="shared" si="4"/>
        <v>14</v>
      </c>
      <c r="R16" s="59"/>
      <c r="T16" s="186"/>
      <c r="U16" s="88">
        <f t="shared" si="5"/>
        <v>14</v>
      </c>
      <c r="V16" s="59">
        <v>14.94</v>
      </c>
      <c r="W16" s="60">
        <v>350</v>
      </c>
      <c r="X16" s="186"/>
      <c r="Y16" s="88">
        <f t="shared" si="6"/>
        <v>14</v>
      </c>
      <c r="Z16" s="59">
        <v>12.2</v>
      </c>
      <c r="AA16" s="60">
        <v>68</v>
      </c>
      <c r="AB16" s="186"/>
      <c r="AC16" s="88">
        <f t="shared" si="7"/>
        <v>14</v>
      </c>
      <c r="AD16" s="59">
        <v>14.76</v>
      </c>
      <c r="AE16" s="60">
        <v>75</v>
      </c>
      <c r="AF16" s="186"/>
      <c r="AG16" s="88">
        <f t="shared" si="8"/>
        <v>14</v>
      </c>
      <c r="AH16" s="59">
        <v>27.23</v>
      </c>
      <c r="AI16" s="60">
        <v>601</v>
      </c>
      <c r="AJ16" s="186"/>
      <c r="AK16" s="88">
        <f t="shared" si="9"/>
        <v>14</v>
      </c>
      <c r="AL16" s="59">
        <v>14.86</v>
      </c>
      <c r="AM16" s="60">
        <v>245</v>
      </c>
      <c r="AN16" s="186"/>
      <c r="AO16" s="88">
        <f t="shared" si="10"/>
        <v>14</v>
      </c>
      <c r="AP16" s="59">
        <v>14.24</v>
      </c>
      <c r="AQ16" s="60">
        <v>160</v>
      </c>
      <c r="AR16" s="186"/>
      <c r="AS16" s="88">
        <f t="shared" si="11"/>
        <v>14</v>
      </c>
      <c r="AT16" s="59"/>
      <c r="AU16" s="60"/>
      <c r="AV16" s="186"/>
      <c r="AW16" s="73"/>
    </row>
    <row r="17" spans="1:49" s="54" customFormat="1" ht="11.25" x14ac:dyDescent="0.2">
      <c r="A17" s="86">
        <f t="shared" si="0"/>
        <v>15</v>
      </c>
      <c r="B17" s="59">
        <v>21</v>
      </c>
      <c r="C17" s="60">
        <v>1020</v>
      </c>
      <c r="D17" s="186"/>
      <c r="E17" s="88">
        <f t="shared" si="1"/>
        <v>15</v>
      </c>
      <c r="F17" s="59"/>
      <c r="G17" s="60"/>
      <c r="H17" s="186"/>
      <c r="I17" s="88">
        <f t="shared" si="2"/>
        <v>15</v>
      </c>
      <c r="J17" s="59">
        <v>19.3</v>
      </c>
      <c r="K17" s="60">
        <v>120</v>
      </c>
      <c r="L17" s="186"/>
      <c r="M17" s="88">
        <f t="shared" si="3"/>
        <v>15</v>
      </c>
      <c r="N17" s="59">
        <v>85.45</v>
      </c>
      <c r="O17" s="60">
        <v>1110</v>
      </c>
      <c r="P17" s="186"/>
      <c r="Q17" s="88">
        <f t="shared" si="4"/>
        <v>15</v>
      </c>
      <c r="R17" s="59"/>
      <c r="T17" s="186"/>
      <c r="U17" s="88">
        <f t="shared" si="5"/>
        <v>15</v>
      </c>
      <c r="V17" s="59">
        <v>92.42</v>
      </c>
      <c r="W17" s="60">
        <v>1300</v>
      </c>
      <c r="X17" s="186"/>
      <c r="Y17" s="88">
        <f t="shared" si="6"/>
        <v>15</v>
      </c>
      <c r="Z17" s="59">
        <v>20.57</v>
      </c>
      <c r="AA17" s="60">
        <v>430</v>
      </c>
      <c r="AB17" s="186"/>
      <c r="AC17" s="88">
        <f t="shared" si="7"/>
        <v>15</v>
      </c>
      <c r="AD17" s="59">
        <v>84.98</v>
      </c>
      <c r="AE17" s="60">
        <v>983</v>
      </c>
      <c r="AF17" s="186"/>
      <c r="AG17" s="88">
        <f t="shared" si="8"/>
        <v>15</v>
      </c>
      <c r="AH17" s="59">
        <v>18.600000000000001</v>
      </c>
      <c r="AI17" s="60">
        <v>95</v>
      </c>
      <c r="AJ17" s="186"/>
      <c r="AK17" s="88">
        <f t="shared" si="9"/>
        <v>15</v>
      </c>
      <c r="AL17" s="59">
        <v>17.82</v>
      </c>
      <c r="AM17" s="60">
        <v>130</v>
      </c>
      <c r="AN17" s="186"/>
      <c r="AO17" s="88">
        <f t="shared" si="10"/>
        <v>15</v>
      </c>
      <c r="AP17" s="59">
        <v>21.07</v>
      </c>
      <c r="AQ17" s="60">
        <v>20</v>
      </c>
      <c r="AR17" s="186"/>
      <c r="AS17" s="88">
        <f t="shared" si="11"/>
        <v>15</v>
      </c>
      <c r="AT17" s="59"/>
      <c r="AU17" s="60"/>
      <c r="AV17" s="186"/>
      <c r="AW17" s="73"/>
    </row>
    <row r="18" spans="1:49" s="54" customFormat="1" ht="11.25" x14ac:dyDescent="0.2">
      <c r="A18" s="86">
        <f t="shared" si="0"/>
        <v>16</v>
      </c>
      <c r="B18" s="59">
        <v>27</v>
      </c>
      <c r="C18" s="60">
        <v>710</v>
      </c>
      <c r="D18" s="186"/>
      <c r="E18" s="88">
        <f t="shared" si="1"/>
        <v>16</v>
      </c>
      <c r="F18" s="59">
        <v>38.9</v>
      </c>
      <c r="G18" s="60">
        <v>196</v>
      </c>
      <c r="H18" s="186"/>
      <c r="I18" s="88">
        <f t="shared" si="2"/>
        <v>16</v>
      </c>
      <c r="J18" s="59"/>
      <c r="K18" s="60"/>
      <c r="L18" s="186"/>
      <c r="M18" s="88">
        <f t="shared" si="3"/>
        <v>16</v>
      </c>
      <c r="N18" s="59">
        <v>11.8</v>
      </c>
      <c r="O18" s="60">
        <v>63</v>
      </c>
      <c r="P18" s="186"/>
      <c r="Q18" s="88">
        <f t="shared" si="4"/>
        <v>16</v>
      </c>
      <c r="R18" s="59"/>
      <c r="S18" s="60"/>
      <c r="T18" s="186"/>
      <c r="U18" s="88">
        <f t="shared" si="5"/>
        <v>16</v>
      </c>
      <c r="V18" s="59">
        <v>72.099999999999994</v>
      </c>
      <c r="W18" s="60">
        <v>745</v>
      </c>
      <c r="X18" s="186"/>
      <c r="Y18" s="88">
        <f t="shared" si="6"/>
        <v>16</v>
      </c>
      <c r="Z18" s="59">
        <v>23.5</v>
      </c>
      <c r="AA18" s="60">
        <v>490</v>
      </c>
      <c r="AB18" s="186"/>
      <c r="AC18" s="88">
        <f t="shared" si="7"/>
        <v>16</v>
      </c>
      <c r="AD18" s="59">
        <v>21.46</v>
      </c>
      <c r="AE18" s="60">
        <v>118</v>
      </c>
      <c r="AF18" s="186"/>
      <c r="AG18" s="88">
        <f t="shared" si="8"/>
        <v>16</v>
      </c>
      <c r="AH18" s="59">
        <v>12.120000000000001</v>
      </c>
      <c r="AI18" s="60">
        <v>60</v>
      </c>
      <c r="AJ18" s="186"/>
      <c r="AK18" s="88">
        <f t="shared" si="9"/>
        <v>16</v>
      </c>
      <c r="AL18" s="59">
        <v>15.309999999999999</v>
      </c>
      <c r="AM18" s="60">
        <v>110</v>
      </c>
      <c r="AN18" s="186"/>
      <c r="AO18" s="88">
        <f t="shared" si="10"/>
        <v>16</v>
      </c>
      <c r="AP18" s="59">
        <v>51.019999999999996</v>
      </c>
      <c r="AQ18" s="60">
        <v>136</v>
      </c>
      <c r="AR18" s="186"/>
      <c r="AS18" s="88">
        <f t="shared" si="11"/>
        <v>16</v>
      </c>
      <c r="AT18" s="59"/>
      <c r="AU18" s="60"/>
      <c r="AV18" s="186"/>
      <c r="AW18" s="73"/>
    </row>
    <row r="19" spans="1:49" s="54" customFormat="1" ht="11.25" x14ac:dyDescent="0.2">
      <c r="A19" s="86">
        <f t="shared" si="0"/>
        <v>17</v>
      </c>
      <c r="B19" s="59">
        <v>20</v>
      </c>
      <c r="C19" s="60">
        <v>510</v>
      </c>
      <c r="D19" s="186"/>
      <c r="E19" s="88">
        <f t="shared" si="1"/>
        <v>17</v>
      </c>
      <c r="F19" s="59">
        <v>37.4</v>
      </c>
      <c r="G19" s="60">
        <v>150</v>
      </c>
      <c r="H19" s="186"/>
      <c r="I19" s="88">
        <f t="shared" si="2"/>
        <v>17</v>
      </c>
      <c r="J19" s="59"/>
      <c r="K19" s="60"/>
      <c r="L19" s="186"/>
      <c r="M19" s="88">
        <f t="shared" si="3"/>
        <v>17</v>
      </c>
      <c r="N19" s="59">
        <v>19.77</v>
      </c>
      <c r="O19" s="60">
        <v>434</v>
      </c>
      <c r="P19" s="186"/>
      <c r="Q19" s="88">
        <f t="shared" si="4"/>
        <v>17</v>
      </c>
      <c r="R19" s="59"/>
      <c r="S19" s="60"/>
      <c r="T19" s="186"/>
      <c r="U19" s="88">
        <f t="shared" si="5"/>
        <v>17</v>
      </c>
      <c r="V19" s="59">
        <v>39.299999999999997</v>
      </c>
      <c r="W19" s="60">
        <v>473</v>
      </c>
      <c r="X19" s="186"/>
      <c r="Y19" s="88">
        <f t="shared" si="6"/>
        <v>17</v>
      </c>
      <c r="Z19" s="59">
        <v>11.44</v>
      </c>
      <c r="AA19" s="60">
        <v>50</v>
      </c>
      <c r="AB19" s="186"/>
      <c r="AC19" s="88">
        <f t="shared" si="7"/>
        <v>17</v>
      </c>
      <c r="AD19" s="59">
        <v>29.18</v>
      </c>
      <c r="AE19" s="60">
        <v>445</v>
      </c>
      <c r="AF19" s="186"/>
      <c r="AG19" s="88">
        <f t="shared" si="8"/>
        <v>17</v>
      </c>
      <c r="AH19" s="59">
        <v>16.73</v>
      </c>
      <c r="AI19" s="60">
        <v>107</v>
      </c>
      <c r="AJ19" s="186"/>
      <c r="AK19" s="88">
        <f t="shared" si="9"/>
        <v>17</v>
      </c>
      <c r="AL19" s="59">
        <v>11.14</v>
      </c>
      <c r="AM19" s="60">
        <v>59</v>
      </c>
      <c r="AN19" s="186"/>
      <c r="AO19" s="88">
        <f t="shared" si="10"/>
        <v>17</v>
      </c>
      <c r="AP19" s="59">
        <v>11.39</v>
      </c>
      <c r="AQ19" s="60">
        <v>67</v>
      </c>
      <c r="AR19" s="186"/>
      <c r="AS19" s="88">
        <f t="shared" si="11"/>
        <v>17</v>
      </c>
      <c r="AT19" s="59"/>
      <c r="AU19" s="60"/>
      <c r="AV19" s="186"/>
      <c r="AW19" s="73"/>
    </row>
    <row r="20" spans="1:49" s="54" customFormat="1" ht="11.25" x14ac:dyDescent="0.2">
      <c r="A20" s="86">
        <f t="shared" si="0"/>
        <v>18</v>
      </c>
      <c r="B20" s="59">
        <v>20</v>
      </c>
      <c r="C20" s="60">
        <v>630</v>
      </c>
      <c r="D20" s="186"/>
      <c r="E20" s="88">
        <f t="shared" si="1"/>
        <v>18</v>
      </c>
      <c r="F20" s="59">
        <v>18.2</v>
      </c>
      <c r="G20" s="60">
        <v>152</v>
      </c>
      <c r="H20" s="186"/>
      <c r="I20" s="88">
        <f t="shared" si="2"/>
        <v>18</v>
      </c>
      <c r="J20" s="59"/>
      <c r="K20" s="60"/>
      <c r="L20" s="186"/>
      <c r="M20" s="88">
        <f t="shared" si="3"/>
        <v>18</v>
      </c>
      <c r="N20" s="59">
        <v>12.19</v>
      </c>
      <c r="O20" s="60">
        <v>440</v>
      </c>
      <c r="P20" s="186"/>
      <c r="Q20" s="88">
        <f t="shared" si="4"/>
        <v>18</v>
      </c>
      <c r="R20" s="59"/>
      <c r="S20" s="60"/>
      <c r="T20" s="186"/>
      <c r="U20" s="88">
        <f t="shared" si="5"/>
        <v>18</v>
      </c>
      <c r="V20" s="59">
        <v>24.9</v>
      </c>
      <c r="W20" s="60">
        <v>636</v>
      </c>
      <c r="X20" s="186"/>
      <c r="Y20" s="88">
        <f t="shared" si="6"/>
        <v>18</v>
      </c>
      <c r="Z20" s="59">
        <v>14.8</v>
      </c>
      <c r="AA20" s="60">
        <v>330</v>
      </c>
      <c r="AB20" s="186"/>
      <c r="AC20" s="88">
        <f t="shared" si="7"/>
        <v>18</v>
      </c>
      <c r="AD20" s="59">
        <v>49.43</v>
      </c>
      <c r="AE20" s="60">
        <v>588</v>
      </c>
      <c r="AF20" s="186"/>
      <c r="AG20" s="88">
        <f t="shared" si="8"/>
        <v>18</v>
      </c>
      <c r="AH20" s="59">
        <v>14.58</v>
      </c>
      <c r="AI20" s="60">
        <v>45</v>
      </c>
      <c r="AJ20" s="186"/>
      <c r="AK20" s="88">
        <f t="shared" si="9"/>
        <v>18</v>
      </c>
      <c r="AL20" s="59">
        <v>19.77</v>
      </c>
      <c r="AM20" s="60">
        <v>434</v>
      </c>
      <c r="AN20" s="186"/>
      <c r="AO20" s="88">
        <f t="shared" si="10"/>
        <v>18</v>
      </c>
      <c r="AP20" s="59">
        <v>12</v>
      </c>
      <c r="AQ20" s="60">
        <v>162</v>
      </c>
      <c r="AR20" s="186"/>
      <c r="AS20" s="88">
        <f t="shared" si="11"/>
        <v>18</v>
      </c>
      <c r="AT20" s="59"/>
      <c r="AU20" s="60"/>
      <c r="AV20" s="186"/>
      <c r="AW20" s="73"/>
    </row>
    <row r="21" spans="1:49" s="54" customFormat="1" ht="11.25" x14ac:dyDescent="0.2">
      <c r="A21" s="86">
        <f t="shared" si="0"/>
        <v>19</v>
      </c>
      <c r="B21" s="59">
        <v>13</v>
      </c>
      <c r="C21" s="60">
        <v>670</v>
      </c>
      <c r="D21" s="186"/>
      <c r="E21" s="88">
        <f t="shared" si="1"/>
        <v>19</v>
      </c>
      <c r="F21" s="59"/>
      <c r="G21" s="60"/>
      <c r="H21" s="186"/>
      <c r="I21" s="88">
        <f t="shared" si="2"/>
        <v>19</v>
      </c>
      <c r="J21" s="59"/>
      <c r="K21" s="60"/>
      <c r="L21" s="186"/>
      <c r="M21" s="88">
        <f t="shared" si="3"/>
        <v>19</v>
      </c>
      <c r="N21" s="59">
        <v>17</v>
      </c>
      <c r="O21" s="60">
        <v>78</v>
      </c>
      <c r="P21" s="186"/>
      <c r="Q21" s="88">
        <f t="shared" si="4"/>
        <v>19</v>
      </c>
      <c r="R21" s="59">
        <v>109.87</v>
      </c>
      <c r="S21" s="60">
        <v>1755</v>
      </c>
      <c r="T21" s="186"/>
      <c r="U21" s="88">
        <f t="shared" si="5"/>
        <v>19</v>
      </c>
      <c r="V21" s="59"/>
      <c r="W21" s="60"/>
      <c r="X21" s="186"/>
      <c r="Y21" s="88">
        <f t="shared" si="6"/>
        <v>19</v>
      </c>
      <c r="Z21" s="59">
        <v>21.48</v>
      </c>
      <c r="AA21" s="60">
        <v>465</v>
      </c>
      <c r="AB21" s="186"/>
      <c r="AC21" s="88">
        <f t="shared" si="7"/>
        <v>19</v>
      </c>
      <c r="AD21" s="59">
        <v>19.77</v>
      </c>
      <c r="AE21" s="60">
        <v>434</v>
      </c>
      <c r="AF21" s="186"/>
      <c r="AG21" s="88">
        <f t="shared" si="8"/>
        <v>19</v>
      </c>
      <c r="AH21" s="59">
        <v>12.41</v>
      </c>
      <c r="AI21" s="60">
        <v>331</v>
      </c>
      <c r="AJ21" s="186"/>
      <c r="AK21" s="88">
        <f t="shared" si="9"/>
        <v>19</v>
      </c>
      <c r="AL21" s="59">
        <v>56.16</v>
      </c>
      <c r="AM21" s="60">
        <v>320</v>
      </c>
      <c r="AN21" s="186"/>
      <c r="AO21" s="88">
        <f t="shared" si="10"/>
        <v>19</v>
      </c>
      <c r="AP21" s="59">
        <v>5.2</v>
      </c>
      <c r="AQ21" s="60">
        <v>10</v>
      </c>
      <c r="AR21" s="186"/>
      <c r="AS21" s="88">
        <f t="shared" si="11"/>
        <v>19</v>
      </c>
      <c r="AT21" s="59">
        <v>20.5</v>
      </c>
      <c r="AU21" s="60">
        <v>35</v>
      </c>
      <c r="AV21" s="186"/>
      <c r="AW21" s="73"/>
    </row>
    <row r="22" spans="1:49" s="54" customFormat="1" ht="11.25" x14ac:dyDescent="0.2">
      <c r="A22" s="86">
        <f t="shared" si="0"/>
        <v>20</v>
      </c>
      <c r="B22" s="59">
        <v>25.2</v>
      </c>
      <c r="C22" s="60">
        <v>750</v>
      </c>
      <c r="D22" s="186"/>
      <c r="E22" s="88">
        <f t="shared" si="1"/>
        <v>20</v>
      </c>
      <c r="F22" s="59"/>
      <c r="G22" s="60"/>
      <c r="H22" s="186"/>
      <c r="I22" s="88">
        <f t="shared" si="2"/>
        <v>20</v>
      </c>
      <c r="J22" s="59"/>
      <c r="K22" s="60"/>
      <c r="L22" s="186"/>
      <c r="M22" s="88">
        <f t="shared" si="3"/>
        <v>20</v>
      </c>
      <c r="N22" s="59">
        <v>14.8</v>
      </c>
      <c r="O22" s="60">
        <v>330</v>
      </c>
      <c r="P22" s="186"/>
      <c r="Q22" s="88">
        <f t="shared" si="4"/>
        <v>20</v>
      </c>
      <c r="R22" s="59">
        <v>14.8</v>
      </c>
      <c r="S22" s="60">
        <v>60</v>
      </c>
      <c r="T22" s="186"/>
      <c r="U22" s="88">
        <f t="shared" si="5"/>
        <v>20</v>
      </c>
      <c r="V22" s="59"/>
      <c r="W22" s="60"/>
      <c r="X22" s="186"/>
      <c r="Y22" s="88">
        <f t="shared" si="6"/>
        <v>20</v>
      </c>
      <c r="Z22" s="59">
        <v>36.17</v>
      </c>
      <c r="AA22" s="60">
        <v>428</v>
      </c>
      <c r="AB22" s="186"/>
      <c r="AC22" s="88">
        <f t="shared" si="7"/>
        <v>20</v>
      </c>
      <c r="AD22" s="59">
        <v>18.150000000000002</v>
      </c>
      <c r="AE22" s="60">
        <v>98</v>
      </c>
      <c r="AF22" s="186"/>
      <c r="AG22" s="88">
        <f t="shared" si="8"/>
        <v>20</v>
      </c>
      <c r="AH22" s="59">
        <v>15.1</v>
      </c>
      <c r="AI22" s="60">
        <v>78</v>
      </c>
      <c r="AJ22" s="186"/>
      <c r="AK22" s="88">
        <f t="shared" si="9"/>
        <v>20</v>
      </c>
      <c r="AL22" s="59">
        <v>45.8</v>
      </c>
      <c r="AM22" s="60">
        <v>130</v>
      </c>
      <c r="AN22" s="186"/>
      <c r="AO22" s="88">
        <f t="shared" si="10"/>
        <v>20</v>
      </c>
      <c r="AP22" s="59">
        <v>12.3</v>
      </c>
      <c r="AQ22" s="60">
        <v>35</v>
      </c>
      <c r="AR22" s="186"/>
      <c r="AS22" s="88">
        <f t="shared" si="11"/>
        <v>20</v>
      </c>
      <c r="AT22" s="59">
        <v>29.4</v>
      </c>
      <c r="AU22" s="60">
        <v>444</v>
      </c>
      <c r="AV22" s="186"/>
      <c r="AW22" s="73"/>
    </row>
    <row r="23" spans="1:49" s="54" customFormat="1" ht="11.25" x14ac:dyDescent="0.2">
      <c r="A23" s="86">
        <f t="shared" si="0"/>
        <v>21</v>
      </c>
      <c r="B23" s="59">
        <v>19</v>
      </c>
      <c r="C23" s="60">
        <v>550</v>
      </c>
      <c r="D23" s="186"/>
      <c r="E23" s="88">
        <f t="shared" si="1"/>
        <v>21</v>
      </c>
      <c r="F23" s="59">
        <v>11.9</v>
      </c>
      <c r="G23" s="60">
        <v>63</v>
      </c>
      <c r="H23" s="186"/>
      <c r="I23" s="88">
        <f t="shared" si="2"/>
        <v>21</v>
      </c>
      <c r="J23" s="59"/>
      <c r="K23" s="60"/>
      <c r="L23" s="186"/>
      <c r="M23" s="88">
        <f t="shared" si="3"/>
        <v>21</v>
      </c>
      <c r="N23" s="59">
        <v>43.39</v>
      </c>
      <c r="O23" s="60">
        <v>608</v>
      </c>
      <c r="P23" s="186"/>
      <c r="Q23" s="88">
        <f t="shared" si="4"/>
        <v>21</v>
      </c>
      <c r="R23" s="59"/>
      <c r="S23" s="60"/>
      <c r="T23" s="186"/>
      <c r="U23" s="88">
        <f t="shared" si="5"/>
        <v>21</v>
      </c>
      <c r="V23" s="59">
        <v>24.9</v>
      </c>
      <c r="W23" s="60">
        <v>636</v>
      </c>
      <c r="X23" s="186"/>
      <c r="Y23" s="88">
        <f t="shared" si="6"/>
        <v>21</v>
      </c>
      <c r="Z23" s="59">
        <v>19.239999999999998</v>
      </c>
      <c r="AA23" s="60">
        <v>155</v>
      </c>
      <c r="AB23" s="186"/>
      <c r="AC23" s="88">
        <f t="shared" si="7"/>
        <v>21</v>
      </c>
      <c r="AD23" s="59">
        <v>17.079999999999998</v>
      </c>
      <c r="AE23" s="60">
        <v>369</v>
      </c>
      <c r="AF23" s="186"/>
      <c r="AG23" s="88">
        <f t="shared" si="8"/>
        <v>21</v>
      </c>
      <c r="AH23" s="59">
        <v>31.32</v>
      </c>
      <c r="AI23" s="60">
        <v>176</v>
      </c>
      <c r="AJ23" s="186"/>
      <c r="AK23" s="88">
        <f t="shared" si="9"/>
        <v>21</v>
      </c>
      <c r="AL23" s="59">
        <v>27.06</v>
      </c>
      <c r="AM23" s="60">
        <v>160</v>
      </c>
      <c r="AN23" s="186"/>
      <c r="AO23" s="88">
        <f t="shared" si="10"/>
        <v>21</v>
      </c>
      <c r="AP23" s="59">
        <v>15.1</v>
      </c>
      <c r="AQ23" s="60">
        <v>50</v>
      </c>
      <c r="AR23" s="186"/>
      <c r="AS23" s="88">
        <f t="shared" si="11"/>
        <v>21</v>
      </c>
      <c r="AT23" s="59">
        <v>15</v>
      </c>
      <c r="AU23" s="60">
        <v>100</v>
      </c>
      <c r="AV23" s="186"/>
      <c r="AW23" s="73"/>
    </row>
    <row r="24" spans="1:49" s="54" customFormat="1" ht="11.25" x14ac:dyDescent="0.2">
      <c r="A24" s="86">
        <f t="shared" si="0"/>
        <v>22</v>
      </c>
      <c r="B24" s="59">
        <v>24.9</v>
      </c>
      <c r="C24" s="60">
        <v>630</v>
      </c>
      <c r="D24" s="186"/>
      <c r="E24" s="88">
        <f t="shared" si="1"/>
        <v>22</v>
      </c>
      <c r="F24" s="59">
        <v>14.8</v>
      </c>
      <c r="G24" s="60">
        <v>78</v>
      </c>
      <c r="H24" s="186"/>
      <c r="I24" s="88">
        <f t="shared" si="2"/>
        <v>22</v>
      </c>
      <c r="J24" s="59"/>
      <c r="K24" s="60"/>
      <c r="L24" s="186"/>
      <c r="M24" s="88">
        <f t="shared" si="3"/>
        <v>22</v>
      </c>
      <c r="N24" s="59">
        <v>12.2</v>
      </c>
      <c r="O24" s="60">
        <v>162</v>
      </c>
      <c r="P24" s="186"/>
      <c r="Q24" s="88">
        <f t="shared" si="4"/>
        <v>22</v>
      </c>
      <c r="R24" s="59">
        <v>12.6</v>
      </c>
      <c r="S24" s="54">
        <v>80</v>
      </c>
      <c r="T24" s="186"/>
      <c r="U24" s="88">
        <f t="shared" si="5"/>
        <v>22</v>
      </c>
      <c r="V24" s="59">
        <v>30.7</v>
      </c>
      <c r="W24" s="60">
        <v>320</v>
      </c>
      <c r="X24" s="186"/>
      <c r="Y24" s="88">
        <f t="shared" si="6"/>
        <v>22</v>
      </c>
      <c r="Z24" s="59">
        <v>18.150000000000002</v>
      </c>
      <c r="AA24" s="60">
        <v>98</v>
      </c>
      <c r="AB24" s="186"/>
      <c r="AC24" s="88">
        <f t="shared" si="7"/>
        <v>22</v>
      </c>
      <c r="AD24" s="59"/>
      <c r="AE24" s="60"/>
      <c r="AF24" s="186"/>
      <c r="AG24" s="88">
        <f t="shared" si="8"/>
        <v>22</v>
      </c>
      <c r="AH24" s="59">
        <v>34.19</v>
      </c>
      <c r="AI24" s="60">
        <v>463</v>
      </c>
      <c r="AJ24" s="186"/>
      <c r="AK24" s="88">
        <f t="shared" si="9"/>
        <v>22</v>
      </c>
      <c r="AL24" s="59">
        <v>21.48</v>
      </c>
      <c r="AM24" s="60">
        <v>465</v>
      </c>
      <c r="AN24" s="186"/>
      <c r="AO24" s="88">
        <f t="shared" si="10"/>
        <v>22</v>
      </c>
      <c r="AP24" s="59">
        <v>12.48</v>
      </c>
      <c r="AQ24" s="60">
        <v>346</v>
      </c>
      <c r="AR24" s="186"/>
      <c r="AS24" s="88">
        <f t="shared" si="11"/>
        <v>22</v>
      </c>
      <c r="AT24" s="59">
        <v>26.700000000000003</v>
      </c>
      <c r="AU24" s="60">
        <v>517</v>
      </c>
      <c r="AV24" s="186"/>
      <c r="AW24" s="73"/>
    </row>
    <row r="25" spans="1:49" s="54" customFormat="1" ht="11.25" x14ac:dyDescent="0.2">
      <c r="A25" s="86">
        <f t="shared" si="0"/>
        <v>23</v>
      </c>
      <c r="B25" s="59">
        <v>21</v>
      </c>
      <c r="C25" s="60">
        <v>540</v>
      </c>
      <c r="D25" s="186"/>
      <c r="E25" s="88">
        <f t="shared" si="1"/>
        <v>23</v>
      </c>
      <c r="F25" s="59"/>
      <c r="G25" s="60"/>
      <c r="H25" s="186"/>
      <c r="I25" s="88">
        <f t="shared" si="2"/>
        <v>23</v>
      </c>
      <c r="J25" s="59">
        <v>33.299999999999997</v>
      </c>
      <c r="K25" s="60">
        <v>731</v>
      </c>
      <c r="L25" s="186"/>
      <c r="M25" s="88">
        <f t="shared" si="3"/>
        <v>23</v>
      </c>
      <c r="N25" s="59">
        <v>31</v>
      </c>
      <c r="O25" s="60">
        <v>275</v>
      </c>
      <c r="P25" s="186"/>
      <c r="Q25" s="88">
        <f t="shared" si="4"/>
        <v>23</v>
      </c>
      <c r="R25" s="59"/>
      <c r="S25" s="60"/>
      <c r="T25" s="186"/>
      <c r="U25" s="88">
        <f t="shared" si="5"/>
        <v>23</v>
      </c>
      <c r="V25" s="59">
        <v>133.09</v>
      </c>
      <c r="W25" s="60">
        <v>1445</v>
      </c>
      <c r="X25" s="186"/>
      <c r="Y25" s="88">
        <f t="shared" si="6"/>
        <v>23</v>
      </c>
      <c r="Z25" s="59">
        <v>12.15</v>
      </c>
      <c r="AA25" s="60">
        <v>145</v>
      </c>
      <c r="AB25" s="186"/>
      <c r="AC25" s="88">
        <f t="shared" si="7"/>
        <v>23</v>
      </c>
      <c r="AD25" s="59">
        <v>11.45</v>
      </c>
      <c r="AE25" s="60">
        <v>55</v>
      </c>
      <c r="AF25" s="186"/>
      <c r="AG25" s="88">
        <f t="shared" si="8"/>
        <v>23</v>
      </c>
      <c r="AH25" s="59">
        <v>14.8</v>
      </c>
      <c r="AI25" s="60">
        <v>330</v>
      </c>
      <c r="AJ25" s="186"/>
      <c r="AK25" s="88">
        <f t="shared" si="9"/>
        <v>23</v>
      </c>
      <c r="AL25" s="59">
        <v>14.309999999999999</v>
      </c>
      <c r="AM25" s="60">
        <v>79</v>
      </c>
      <c r="AN25" s="186"/>
      <c r="AO25" s="88">
        <f t="shared" si="10"/>
        <v>23</v>
      </c>
      <c r="AP25" s="59">
        <v>33.11</v>
      </c>
      <c r="AQ25" s="60">
        <v>521</v>
      </c>
      <c r="AR25" s="186"/>
      <c r="AS25" s="88">
        <f t="shared" si="11"/>
        <v>23</v>
      </c>
      <c r="AT25" s="59">
        <v>11.28</v>
      </c>
      <c r="AU25" s="60">
        <v>42</v>
      </c>
      <c r="AV25" s="186"/>
      <c r="AW25" s="73"/>
    </row>
    <row r="26" spans="1:49" s="54" customFormat="1" ht="11.25" x14ac:dyDescent="0.2">
      <c r="A26" s="86">
        <f t="shared" si="0"/>
        <v>24</v>
      </c>
      <c r="B26" s="59">
        <v>16.399999999999999</v>
      </c>
      <c r="C26" s="60">
        <v>600</v>
      </c>
      <c r="D26" s="186"/>
      <c r="E26" s="88">
        <f t="shared" si="1"/>
        <v>24</v>
      </c>
      <c r="F26" s="59"/>
      <c r="G26" s="60"/>
      <c r="H26" s="186">
        <v>4.2361111111111106E-2</v>
      </c>
      <c r="I26" s="88">
        <f t="shared" si="2"/>
        <v>24</v>
      </c>
      <c r="J26" s="59">
        <v>24.4</v>
      </c>
      <c r="K26" s="60">
        <v>766</v>
      </c>
      <c r="L26" s="186"/>
      <c r="M26" s="88">
        <f t="shared" si="3"/>
        <v>24</v>
      </c>
      <c r="N26" s="59">
        <v>20.3</v>
      </c>
      <c r="O26" s="60">
        <v>360</v>
      </c>
      <c r="P26" s="186"/>
      <c r="Q26" s="88">
        <f t="shared" si="4"/>
        <v>24</v>
      </c>
      <c r="R26" s="59">
        <v>22.8</v>
      </c>
      <c r="S26" s="60">
        <v>120</v>
      </c>
      <c r="T26" s="186"/>
      <c r="U26" s="88">
        <f t="shared" si="5"/>
        <v>24</v>
      </c>
      <c r="V26" s="59"/>
      <c r="W26" s="60"/>
      <c r="X26" s="186"/>
      <c r="Y26" s="88">
        <f t="shared" si="6"/>
        <v>24</v>
      </c>
      <c r="Z26" s="59">
        <v>21.48</v>
      </c>
      <c r="AA26" s="60">
        <v>465</v>
      </c>
      <c r="AB26" s="186"/>
      <c r="AC26" s="88">
        <f t="shared" si="7"/>
        <v>24</v>
      </c>
      <c r="AD26" s="59"/>
      <c r="AE26" s="60"/>
      <c r="AF26" s="186"/>
      <c r="AG26" s="88">
        <f t="shared" si="8"/>
        <v>24</v>
      </c>
      <c r="AH26" s="59">
        <v>17.8</v>
      </c>
      <c r="AI26" s="60">
        <v>360</v>
      </c>
      <c r="AJ26" s="186"/>
      <c r="AK26" s="88">
        <f t="shared" si="9"/>
        <v>24</v>
      </c>
      <c r="AL26" s="59">
        <v>13.19</v>
      </c>
      <c r="AM26" s="60">
        <v>73</v>
      </c>
      <c r="AN26" s="186"/>
      <c r="AO26" s="88">
        <f t="shared" si="10"/>
        <v>24</v>
      </c>
      <c r="AP26" s="59">
        <v>36.799999999999997</v>
      </c>
      <c r="AQ26" s="60">
        <v>488</v>
      </c>
      <c r="AR26" s="186"/>
      <c r="AS26" s="88">
        <f t="shared" si="11"/>
        <v>24</v>
      </c>
      <c r="AT26" s="59">
        <v>26.700000000000003</v>
      </c>
      <c r="AU26" s="60">
        <v>517</v>
      </c>
      <c r="AV26" s="186"/>
      <c r="AW26" s="73"/>
    </row>
    <row r="27" spans="1:49" s="54" customFormat="1" ht="11.25" x14ac:dyDescent="0.2">
      <c r="A27" s="86">
        <f t="shared" si="0"/>
        <v>25</v>
      </c>
      <c r="B27" s="59">
        <v>5</v>
      </c>
      <c r="C27" s="60">
        <v>270</v>
      </c>
      <c r="D27" s="186"/>
      <c r="E27" s="88">
        <f t="shared" si="1"/>
        <v>25</v>
      </c>
      <c r="F27" s="59"/>
      <c r="G27" s="60"/>
      <c r="H27" s="186"/>
      <c r="I27" s="88">
        <f t="shared" si="2"/>
        <v>25</v>
      </c>
      <c r="J27" s="59">
        <v>10.8</v>
      </c>
      <c r="K27" s="60">
        <v>15</v>
      </c>
      <c r="L27" s="186"/>
      <c r="M27" s="88">
        <f t="shared" si="3"/>
        <v>25</v>
      </c>
      <c r="N27" s="59">
        <v>15.3</v>
      </c>
      <c r="O27" s="60">
        <v>78</v>
      </c>
      <c r="P27" s="186"/>
      <c r="Q27" s="88">
        <f t="shared" si="4"/>
        <v>25</v>
      </c>
      <c r="R27" s="59">
        <v>42</v>
      </c>
      <c r="S27" s="60">
        <v>355</v>
      </c>
      <c r="T27" s="186"/>
      <c r="U27" s="88">
        <f t="shared" si="5"/>
        <v>25</v>
      </c>
      <c r="V27" s="59"/>
      <c r="W27" s="60"/>
      <c r="X27" s="186"/>
      <c r="Y27" s="88">
        <f t="shared" si="6"/>
        <v>25</v>
      </c>
      <c r="Z27" s="59">
        <v>19.059999999999999</v>
      </c>
      <c r="AA27" s="60">
        <v>178</v>
      </c>
      <c r="AB27" s="186"/>
      <c r="AC27" s="88">
        <f t="shared" si="7"/>
        <v>25</v>
      </c>
      <c r="AD27" s="59">
        <v>31.6</v>
      </c>
      <c r="AE27" s="60">
        <v>108</v>
      </c>
      <c r="AF27" s="186"/>
      <c r="AG27" s="88">
        <f t="shared" si="8"/>
        <v>25</v>
      </c>
      <c r="AH27" s="59">
        <v>19</v>
      </c>
      <c r="AI27" s="60">
        <v>380</v>
      </c>
      <c r="AJ27" s="186"/>
      <c r="AK27" s="88">
        <f t="shared" si="9"/>
        <v>25</v>
      </c>
      <c r="AL27" s="59">
        <v>17.82</v>
      </c>
      <c r="AM27" s="60">
        <v>130</v>
      </c>
      <c r="AN27" s="186"/>
      <c r="AO27" s="88">
        <f t="shared" si="10"/>
        <v>25</v>
      </c>
      <c r="AP27" s="59">
        <v>12.28</v>
      </c>
      <c r="AQ27" s="60">
        <v>66</v>
      </c>
      <c r="AR27" s="186"/>
      <c r="AS27" s="88">
        <f t="shared" si="11"/>
        <v>25</v>
      </c>
      <c r="AT27" s="59">
        <v>7.2</v>
      </c>
      <c r="AU27" s="60">
        <v>30</v>
      </c>
      <c r="AV27" s="186"/>
      <c r="AW27" s="73"/>
    </row>
    <row r="28" spans="1:49" s="54" customFormat="1" ht="11.25" x14ac:dyDescent="0.2">
      <c r="A28" s="86">
        <f t="shared" si="0"/>
        <v>26</v>
      </c>
      <c r="B28" s="59"/>
      <c r="C28" s="60"/>
      <c r="D28" s="186"/>
      <c r="E28" s="88">
        <f t="shared" si="1"/>
        <v>26</v>
      </c>
      <c r="F28" s="59"/>
      <c r="G28" s="60"/>
      <c r="H28" s="186"/>
      <c r="I28" s="88">
        <f t="shared" si="2"/>
        <v>26</v>
      </c>
      <c r="J28" s="59">
        <v>17.2</v>
      </c>
      <c r="K28" s="60">
        <v>60</v>
      </c>
      <c r="L28" s="186"/>
      <c r="M28" s="88">
        <f t="shared" si="3"/>
        <v>26</v>
      </c>
      <c r="N28" s="59">
        <v>19.7</v>
      </c>
      <c r="O28" s="60">
        <v>54</v>
      </c>
      <c r="P28" s="186"/>
      <c r="Q28" s="88">
        <f t="shared" si="4"/>
        <v>26</v>
      </c>
      <c r="R28" s="59"/>
      <c r="S28" s="60"/>
      <c r="T28" s="186">
        <v>6.5277777777777782E-2</v>
      </c>
      <c r="U28" s="88">
        <f t="shared" si="5"/>
        <v>26</v>
      </c>
      <c r="V28" s="59">
        <v>47.6</v>
      </c>
      <c r="W28" s="60">
        <v>505</v>
      </c>
      <c r="X28" s="186"/>
      <c r="Y28" s="88">
        <f t="shared" si="6"/>
        <v>26</v>
      </c>
      <c r="Z28" s="59">
        <v>22</v>
      </c>
      <c r="AA28" s="60">
        <v>410</v>
      </c>
      <c r="AB28" s="186"/>
      <c r="AC28" s="88">
        <f t="shared" si="7"/>
        <v>26</v>
      </c>
      <c r="AD28" s="59"/>
      <c r="AE28" s="60"/>
      <c r="AF28" s="186"/>
      <c r="AG28" s="88">
        <f t="shared" si="8"/>
        <v>26</v>
      </c>
      <c r="AH28" s="59">
        <v>14.559999999999999</v>
      </c>
      <c r="AI28" s="60">
        <v>67</v>
      </c>
      <c r="AJ28" s="186"/>
      <c r="AK28" s="88">
        <f t="shared" si="9"/>
        <v>26</v>
      </c>
      <c r="AL28" s="59">
        <v>52.160000000000004</v>
      </c>
      <c r="AM28" s="60">
        <v>1080</v>
      </c>
      <c r="AN28" s="186"/>
      <c r="AO28" s="88">
        <f t="shared" si="10"/>
        <v>26</v>
      </c>
      <c r="AP28" s="59">
        <v>10.4</v>
      </c>
      <c r="AQ28" s="60">
        <v>15</v>
      </c>
      <c r="AR28" s="186"/>
      <c r="AS28" s="88">
        <f t="shared" si="11"/>
        <v>26</v>
      </c>
      <c r="AT28" s="59">
        <v>11</v>
      </c>
      <c r="AU28" s="60">
        <v>25</v>
      </c>
      <c r="AV28" s="186"/>
      <c r="AW28" s="73"/>
    </row>
    <row r="29" spans="1:49" s="54" customFormat="1" ht="11.25" x14ac:dyDescent="0.2">
      <c r="A29" s="86">
        <f t="shared" si="0"/>
        <v>27</v>
      </c>
      <c r="B29" s="59">
        <v>10.5</v>
      </c>
      <c r="C29" s="60">
        <v>80</v>
      </c>
      <c r="D29" s="186"/>
      <c r="E29" s="88">
        <f t="shared" si="1"/>
        <v>27</v>
      </c>
      <c r="F29" s="59"/>
      <c r="G29" s="60"/>
      <c r="H29" s="186"/>
      <c r="I29" s="88">
        <f t="shared" si="2"/>
        <v>27</v>
      </c>
      <c r="J29" s="59">
        <v>19</v>
      </c>
      <c r="K29" s="60">
        <v>77</v>
      </c>
      <c r="L29" s="186"/>
      <c r="M29" s="88">
        <f t="shared" si="3"/>
        <v>27</v>
      </c>
      <c r="N29" s="59"/>
      <c r="O29" s="60"/>
      <c r="P29" s="186"/>
      <c r="Q29" s="88">
        <f t="shared" si="4"/>
        <v>27</v>
      </c>
      <c r="R29" s="59">
        <v>22.5</v>
      </c>
      <c r="S29" s="60">
        <v>20</v>
      </c>
      <c r="T29" s="186"/>
      <c r="U29" s="88">
        <f t="shared" si="5"/>
        <v>27</v>
      </c>
      <c r="V29" s="59">
        <v>17.740000000000002</v>
      </c>
      <c r="W29" s="60">
        <v>93</v>
      </c>
      <c r="X29" s="186"/>
      <c r="Y29" s="88">
        <f t="shared" si="6"/>
        <v>27</v>
      </c>
      <c r="Z29" s="59">
        <v>53.73</v>
      </c>
      <c r="AA29" s="60">
        <v>265</v>
      </c>
      <c r="AB29" s="186"/>
      <c r="AC29" s="88">
        <f t="shared" si="7"/>
        <v>27</v>
      </c>
      <c r="AD29" s="59">
        <v>15.25</v>
      </c>
      <c r="AE29" s="60">
        <v>83</v>
      </c>
      <c r="AF29" s="186"/>
      <c r="AG29" s="88">
        <f t="shared" si="8"/>
        <v>27</v>
      </c>
      <c r="AH29" s="59">
        <v>26.5</v>
      </c>
      <c r="AI29" s="60">
        <v>520</v>
      </c>
      <c r="AJ29" s="186"/>
      <c r="AK29" s="88">
        <f t="shared" si="9"/>
        <v>27</v>
      </c>
      <c r="AL29" s="59">
        <v>34.629999999999995</v>
      </c>
      <c r="AM29" s="60">
        <v>361</v>
      </c>
      <c r="AN29" s="186"/>
      <c r="AO29" s="88">
        <f t="shared" si="10"/>
        <v>27</v>
      </c>
      <c r="AP29" s="59">
        <v>10.67</v>
      </c>
      <c r="AQ29" s="60">
        <v>77</v>
      </c>
      <c r="AR29" s="186"/>
      <c r="AS29" s="88">
        <f t="shared" si="11"/>
        <v>27</v>
      </c>
      <c r="AT29" s="59"/>
      <c r="AU29" s="60"/>
      <c r="AV29" s="186"/>
      <c r="AW29" s="73"/>
    </row>
    <row r="30" spans="1:49" s="54" customFormat="1" ht="11.25" x14ac:dyDescent="0.2">
      <c r="A30" s="86">
        <f t="shared" si="0"/>
        <v>28</v>
      </c>
      <c r="B30" s="59">
        <v>11.3</v>
      </c>
      <c r="C30" s="60">
        <v>100</v>
      </c>
      <c r="D30" s="186"/>
      <c r="E30" s="88">
        <f t="shared" si="1"/>
        <v>28</v>
      </c>
      <c r="F30" s="59"/>
      <c r="G30" s="60"/>
      <c r="H30" s="186"/>
      <c r="I30" s="88">
        <f t="shared" si="2"/>
        <v>28</v>
      </c>
      <c r="J30" s="59">
        <v>18.5</v>
      </c>
      <c r="K30" s="60">
        <v>145</v>
      </c>
      <c r="L30" s="186"/>
      <c r="M30" s="88">
        <f t="shared" si="3"/>
        <v>28</v>
      </c>
      <c r="N30" s="59">
        <v>24.66</v>
      </c>
      <c r="O30" s="60">
        <v>25</v>
      </c>
      <c r="P30" s="186"/>
      <c r="Q30" s="88">
        <f t="shared" si="4"/>
        <v>28</v>
      </c>
      <c r="R30" s="59">
        <v>10.1</v>
      </c>
      <c r="S30" s="60">
        <v>306</v>
      </c>
      <c r="T30" s="186"/>
      <c r="U30" s="88">
        <f t="shared" si="5"/>
        <v>28</v>
      </c>
      <c r="V30" s="59">
        <v>24.9</v>
      </c>
      <c r="W30" s="60">
        <v>636</v>
      </c>
      <c r="X30" s="186"/>
      <c r="Y30" s="88">
        <f t="shared" si="6"/>
        <v>28</v>
      </c>
      <c r="Z30" s="59">
        <v>26.2</v>
      </c>
      <c r="AA30" s="60">
        <v>420</v>
      </c>
      <c r="AB30" s="186"/>
      <c r="AC30" s="88">
        <f t="shared" si="7"/>
        <v>28</v>
      </c>
      <c r="AD30" s="59">
        <v>15.36</v>
      </c>
      <c r="AE30" s="60">
        <v>220</v>
      </c>
      <c r="AF30" s="186"/>
      <c r="AG30" s="88">
        <f t="shared" si="8"/>
        <v>28</v>
      </c>
      <c r="AH30" s="59">
        <v>61.74</v>
      </c>
      <c r="AI30" s="60">
        <v>438</v>
      </c>
      <c r="AJ30" s="186"/>
      <c r="AK30" s="88">
        <f t="shared" si="9"/>
        <v>28</v>
      </c>
      <c r="AL30" s="59">
        <v>10.6</v>
      </c>
      <c r="AM30" s="60">
        <v>30</v>
      </c>
      <c r="AN30" s="186"/>
      <c r="AO30" s="88">
        <f t="shared" si="10"/>
        <v>28</v>
      </c>
      <c r="AP30" s="59">
        <v>12.7</v>
      </c>
      <c r="AQ30" s="60">
        <v>50</v>
      </c>
      <c r="AR30" s="186"/>
      <c r="AS30" s="88">
        <f t="shared" si="11"/>
        <v>28</v>
      </c>
      <c r="AT30" s="59">
        <v>26</v>
      </c>
      <c r="AU30" s="60">
        <v>477</v>
      </c>
      <c r="AV30" s="186"/>
      <c r="AW30" s="73"/>
    </row>
    <row r="31" spans="1:49" s="54" customFormat="1" ht="11.25" x14ac:dyDescent="0.2">
      <c r="A31" s="86">
        <f t="shared" si="0"/>
        <v>29</v>
      </c>
      <c r="B31" s="59">
        <v>11.7</v>
      </c>
      <c r="C31" s="60">
        <v>160</v>
      </c>
      <c r="D31" s="186"/>
      <c r="E31" s="88"/>
      <c r="F31" s="59"/>
      <c r="G31" s="60"/>
      <c r="H31" s="186"/>
      <c r="I31" s="88">
        <f t="shared" si="2"/>
        <v>29</v>
      </c>
      <c r="J31" s="59">
        <v>36.099999999999994</v>
      </c>
      <c r="K31" s="60">
        <v>475</v>
      </c>
      <c r="L31" s="186"/>
      <c r="M31" s="88">
        <f t="shared" si="3"/>
        <v>29</v>
      </c>
      <c r="N31" s="59">
        <v>19.3</v>
      </c>
      <c r="O31" s="60">
        <v>177</v>
      </c>
      <c r="P31" s="186"/>
      <c r="Q31" s="88">
        <f t="shared" si="4"/>
        <v>29</v>
      </c>
      <c r="R31" s="59">
        <v>10.5</v>
      </c>
      <c r="S31" s="60">
        <v>30</v>
      </c>
      <c r="T31" s="186"/>
      <c r="U31" s="88">
        <f t="shared" si="5"/>
        <v>29</v>
      </c>
      <c r="V31" s="59">
        <v>14.3</v>
      </c>
      <c r="W31" s="60">
        <v>80</v>
      </c>
      <c r="X31" s="186"/>
      <c r="Y31" s="88">
        <f t="shared" si="6"/>
        <v>29</v>
      </c>
      <c r="Z31" s="59">
        <v>15.71</v>
      </c>
      <c r="AA31" s="60">
        <v>345</v>
      </c>
      <c r="AB31" s="186"/>
      <c r="AC31" s="88">
        <f t="shared" si="7"/>
        <v>29</v>
      </c>
      <c r="AD31" s="59">
        <v>16.82</v>
      </c>
      <c r="AE31" s="60">
        <v>345</v>
      </c>
      <c r="AF31" s="186"/>
      <c r="AG31" s="88">
        <f t="shared" si="8"/>
        <v>29</v>
      </c>
      <c r="AH31" s="59">
        <v>24.16</v>
      </c>
      <c r="AI31" s="60">
        <v>180</v>
      </c>
      <c r="AJ31" s="186">
        <v>4.4444444444444446E-2</v>
      </c>
      <c r="AK31" s="88">
        <f t="shared" si="9"/>
        <v>29</v>
      </c>
      <c r="AL31" s="59"/>
      <c r="AM31" s="60"/>
      <c r="AN31" s="186">
        <v>2.0833333333333332E-2</v>
      </c>
      <c r="AO31" s="88">
        <f t="shared" si="10"/>
        <v>29</v>
      </c>
      <c r="AP31" s="59"/>
      <c r="AQ31" s="60"/>
      <c r="AR31" s="186"/>
      <c r="AS31" s="88">
        <f t="shared" si="11"/>
        <v>29</v>
      </c>
      <c r="AT31" s="59">
        <v>15.969999999999999</v>
      </c>
      <c r="AU31" s="60">
        <v>81</v>
      </c>
      <c r="AV31" s="186"/>
      <c r="AW31" s="73"/>
    </row>
    <row r="32" spans="1:49" s="54" customFormat="1" ht="11.25" x14ac:dyDescent="0.2">
      <c r="A32" s="86">
        <f t="shared" si="0"/>
        <v>30</v>
      </c>
      <c r="B32" s="59">
        <v>12.8</v>
      </c>
      <c r="C32" s="60">
        <v>78</v>
      </c>
      <c r="D32" s="186"/>
      <c r="E32" s="88"/>
      <c r="F32" s="59"/>
      <c r="G32" s="60"/>
      <c r="H32" s="186"/>
      <c r="I32" s="88">
        <f t="shared" si="2"/>
        <v>30</v>
      </c>
      <c r="J32" s="59">
        <v>43.1</v>
      </c>
      <c r="K32" s="60">
        <v>164</v>
      </c>
      <c r="L32" s="186"/>
      <c r="M32" s="88">
        <f t="shared" si="3"/>
        <v>30</v>
      </c>
      <c r="N32" s="59"/>
      <c r="O32" s="60"/>
      <c r="P32" s="186"/>
      <c r="Q32" s="88">
        <f t="shared" si="4"/>
        <v>30</v>
      </c>
      <c r="R32" s="59">
        <v>31.26</v>
      </c>
      <c r="S32" s="60">
        <v>862</v>
      </c>
      <c r="T32" s="186"/>
      <c r="U32" s="88">
        <f t="shared" si="5"/>
        <v>30</v>
      </c>
      <c r="V32" s="59">
        <v>88.02</v>
      </c>
      <c r="W32" s="60">
        <v>1087</v>
      </c>
      <c r="X32" s="186"/>
      <c r="Y32" s="88">
        <f t="shared" si="6"/>
        <v>30</v>
      </c>
      <c r="Z32" s="59">
        <v>15.25</v>
      </c>
      <c r="AA32" s="60">
        <v>83</v>
      </c>
      <c r="AB32" s="186"/>
      <c r="AC32" s="88">
        <f t="shared" si="7"/>
        <v>30</v>
      </c>
      <c r="AD32" s="59">
        <v>27.2</v>
      </c>
      <c r="AE32" s="60">
        <v>260</v>
      </c>
      <c r="AF32" s="186"/>
      <c r="AG32" s="88">
        <f t="shared" si="8"/>
        <v>30</v>
      </c>
      <c r="AH32" s="59">
        <v>14.6</v>
      </c>
      <c r="AI32" s="60">
        <v>110</v>
      </c>
      <c r="AJ32" s="186"/>
      <c r="AK32" s="88">
        <f t="shared" si="9"/>
        <v>30</v>
      </c>
      <c r="AL32" s="59">
        <v>10.1</v>
      </c>
      <c r="AM32" s="60">
        <v>306</v>
      </c>
      <c r="AN32" s="186"/>
      <c r="AO32" s="88">
        <f t="shared" si="10"/>
        <v>30</v>
      </c>
      <c r="AP32" s="59"/>
      <c r="AQ32" s="60"/>
      <c r="AR32" s="186"/>
      <c r="AS32" s="88">
        <f t="shared" si="11"/>
        <v>30</v>
      </c>
      <c r="AT32" s="59">
        <v>13.86</v>
      </c>
      <c r="AU32" s="60">
        <v>68</v>
      </c>
      <c r="AV32" s="186"/>
      <c r="AW32" s="73"/>
    </row>
    <row r="33" spans="1:49" s="54" customFormat="1" ht="11.25" x14ac:dyDescent="0.2">
      <c r="A33" s="87">
        <f t="shared" si="0"/>
        <v>31</v>
      </c>
      <c r="B33" s="68"/>
      <c r="C33" s="69"/>
      <c r="D33" s="187"/>
      <c r="E33" s="89"/>
      <c r="F33" s="68"/>
      <c r="G33" s="69"/>
      <c r="H33" s="187"/>
      <c r="I33" s="89">
        <f t="shared" si="2"/>
        <v>31</v>
      </c>
      <c r="J33" s="68">
        <v>38.4</v>
      </c>
      <c r="K33" s="69">
        <v>220</v>
      </c>
      <c r="L33" s="187"/>
      <c r="M33" s="89"/>
      <c r="N33" s="68"/>
      <c r="O33" s="69"/>
      <c r="P33" s="187"/>
      <c r="Q33" s="89">
        <f t="shared" si="4"/>
        <v>31</v>
      </c>
      <c r="R33" s="68"/>
      <c r="S33" s="69"/>
      <c r="T33" s="187"/>
      <c r="U33" s="89"/>
      <c r="V33" s="68"/>
      <c r="W33" s="69"/>
      <c r="X33" s="187"/>
      <c r="Y33" s="89">
        <f t="shared" si="6"/>
        <v>31</v>
      </c>
      <c r="Z33" s="68">
        <v>14.36</v>
      </c>
      <c r="AA33" s="69">
        <v>343</v>
      </c>
      <c r="AB33" s="187"/>
      <c r="AC33" s="89">
        <f t="shared" si="7"/>
        <v>31</v>
      </c>
      <c r="AD33" s="68">
        <v>47.74</v>
      </c>
      <c r="AE33" s="69">
        <v>355</v>
      </c>
      <c r="AF33" s="187"/>
      <c r="AG33" s="89"/>
      <c r="AH33" s="68"/>
      <c r="AI33" s="69"/>
      <c r="AJ33" s="187"/>
      <c r="AK33" s="89">
        <f t="shared" si="9"/>
        <v>31</v>
      </c>
      <c r="AL33" s="68">
        <v>12.76</v>
      </c>
      <c r="AM33" s="69">
        <v>73</v>
      </c>
      <c r="AN33" s="187"/>
      <c r="AO33" s="89"/>
      <c r="AP33" s="68"/>
      <c r="AQ33" s="69"/>
      <c r="AR33" s="187"/>
      <c r="AS33" s="89">
        <f t="shared" si="11"/>
        <v>31</v>
      </c>
      <c r="AT33" s="68">
        <v>30.000000000000004</v>
      </c>
      <c r="AU33" s="69">
        <v>170</v>
      </c>
      <c r="AV33" s="187"/>
      <c r="AW33" s="73"/>
    </row>
    <row r="34" spans="1:49" s="54" customFormat="1" ht="11.25" x14ac:dyDescent="0.2">
      <c r="A34" s="50" t="s">
        <v>95</v>
      </c>
      <c r="B34" s="52">
        <f>SUM(B3:B33)</f>
        <v>442.55999999999995</v>
      </c>
      <c r="C34" s="53">
        <f>SUM(C3:C33)</f>
        <v>9242</v>
      </c>
      <c r="D34" s="92">
        <f>(SUM(D3:D33)/D39)*C39</f>
        <v>14.399999999999999</v>
      </c>
      <c r="E34" s="71"/>
      <c r="F34" s="52">
        <f>SUM(F3:F33)</f>
        <v>235.4</v>
      </c>
      <c r="G34" s="53">
        <f>SUM(G3:G33)</f>
        <v>1667</v>
      </c>
      <c r="H34" s="92">
        <f>(SUM(H3:H33)/D39)*C39</f>
        <v>62.8</v>
      </c>
      <c r="I34" s="71"/>
      <c r="J34" s="52">
        <f>SUM(J3:J33)</f>
        <v>557.75</v>
      </c>
      <c r="K34" s="53">
        <f>SUM(K3:K33)</f>
        <v>5067</v>
      </c>
      <c r="L34" s="92">
        <f>(SUM(L3:L33)/D39)*C39</f>
        <v>12</v>
      </c>
      <c r="M34" s="90"/>
      <c r="N34" s="52">
        <f>SUM(N3:N33)</f>
        <v>575.84999999999991</v>
      </c>
      <c r="O34" s="53">
        <f>SUM(O3:O33)</f>
        <v>6423</v>
      </c>
      <c r="P34" s="92">
        <f>(SUM(P3:P33)/D39)*C39</f>
        <v>0</v>
      </c>
      <c r="Q34" s="71"/>
      <c r="R34" s="52">
        <f>SUM(R3:R33)</f>
        <v>371.55000000000007</v>
      </c>
      <c r="S34" s="53">
        <f>SUM(S3:S33)</f>
        <v>5165</v>
      </c>
      <c r="T34" s="92">
        <f>(SUM(T3:T33)/D39)*C39</f>
        <v>66.800000000000011</v>
      </c>
      <c r="U34" s="71"/>
      <c r="V34" s="52">
        <f>SUM(V3:V33)</f>
        <v>919.33999999999992</v>
      </c>
      <c r="W34" s="53">
        <f>SUM(W3:W33)</f>
        <v>12660</v>
      </c>
      <c r="X34" s="92">
        <f>(SUM(X3:X33)/D39)*C39</f>
        <v>24</v>
      </c>
      <c r="Y34" s="71"/>
      <c r="Z34" s="52">
        <f>SUM(Z3:Z33)</f>
        <v>772.63</v>
      </c>
      <c r="AA34" s="53">
        <f>SUM(AA3:AA33)</f>
        <v>12278</v>
      </c>
      <c r="AB34" s="92">
        <f>(SUM(AB3:AB33)/D39)*C39</f>
        <v>50.000000000000014</v>
      </c>
      <c r="AC34" s="71"/>
      <c r="AD34" s="52">
        <f>SUM(AD3:AD33)</f>
        <v>735.21000000000015</v>
      </c>
      <c r="AE34" s="53">
        <f>SUM(AE3:AE33)</f>
        <v>8618</v>
      </c>
      <c r="AF34" s="92">
        <f>(SUM(AF3:AF33)/D39)*C39</f>
        <v>0</v>
      </c>
      <c r="AG34" s="71"/>
      <c r="AH34" s="59">
        <f>SUM(AH3:AH33)</f>
        <v>858.01</v>
      </c>
      <c r="AI34" s="53">
        <f>SUM(AI3:AI33)</f>
        <v>10272</v>
      </c>
      <c r="AJ34" s="92">
        <f>(SUM(AJ3:AJ33)/D39)*C39</f>
        <v>25.600000000000005</v>
      </c>
      <c r="AK34" s="71"/>
      <c r="AL34" s="52">
        <f>SUM(AL3:AL33)</f>
        <v>699.42000000000007</v>
      </c>
      <c r="AM34" s="53">
        <f>SUM(AM3:AM33)</f>
        <v>7480</v>
      </c>
      <c r="AN34" s="92">
        <f>(SUM(AN3:AN33)/D39)*C39</f>
        <v>32.4</v>
      </c>
      <c r="AO34" s="71"/>
      <c r="AP34" s="52">
        <f>SUM(AP3:AP33)</f>
        <v>527.09</v>
      </c>
      <c r="AQ34" s="53">
        <f>SUM(AQ3:AQ33)</f>
        <v>4220</v>
      </c>
      <c r="AR34" s="92">
        <f>(SUM(AR3:AR33)/D39)*C39</f>
        <v>0</v>
      </c>
      <c r="AS34" s="71"/>
      <c r="AT34" s="52">
        <f>SUM(AT3:AT33)</f>
        <v>465.05999999999995</v>
      </c>
      <c r="AU34" s="53">
        <f>SUM(AU3:AU33)</f>
        <v>3960</v>
      </c>
      <c r="AV34" s="92">
        <f>(SUM(AV3:AV33)/D39)*C39</f>
        <v>0</v>
      </c>
      <c r="AW34" s="73"/>
    </row>
    <row r="35" spans="1:49" s="57" customFormat="1" ht="11.25" x14ac:dyDescent="0.2">
      <c r="A35" s="51" t="s">
        <v>96</v>
      </c>
      <c r="B35" s="55">
        <f>B34</f>
        <v>442.55999999999995</v>
      </c>
      <c r="C35" s="56">
        <f>C34</f>
        <v>9242</v>
      </c>
      <c r="D35" s="93">
        <f>D34</f>
        <v>14.399999999999999</v>
      </c>
      <c r="E35" s="72"/>
      <c r="F35" s="55">
        <f>F34+B35</f>
        <v>677.95999999999992</v>
      </c>
      <c r="G35" s="56">
        <f>G34+C35</f>
        <v>10909</v>
      </c>
      <c r="H35" s="93">
        <f>H34+D35</f>
        <v>77.199999999999989</v>
      </c>
      <c r="I35" s="72"/>
      <c r="J35" s="55">
        <f>J34+F35</f>
        <v>1235.71</v>
      </c>
      <c r="K35" s="56">
        <f>K34+G35</f>
        <v>15976</v>
      </c>
      <c r="L35" s="93">
        <f>L34+H35</f>
        <v>89.199999999999989</v>
      </c>
      <c r="M35" s="72"/>
      <c r="N35" s="55">
        <f>N34+J35</f>
        <v>1811.56</v>
      </c>
      <c r="O35" s="56">
        <f>O34+K35</f>
        <v>22399</v>
      </c>
      <c r="P35" s="93">
        <f>P34+L35</f>
        <v>89.199999999999989</v>
      </c>
      <c r="Q35" s="72"/>
      <c r="R35" s="55">
        <f>R34+N35</f>
        <v>2183.11</v>
      </c>
      <c r="S35" s="56">
        <f>S34+O35</f>
        <v>27564</v>
      </c>
      <c r="T35" s="93">
        <f>T34+P35</f>
        <v>156</v>
      </c>
      <c r="U35" s="72"/>
      <c r="V35" s="55">
        <f>V34+R35</f>
        <v>3102.45</v>
      </c>
      <c r="W35" s="56">
        <f>W34+S35</f>
        <v>40224</v>
      </c>
      <c r="X35" s="93">
        <f>X34+T35</f>
        <v>180</v>
      </c>
      <c r="Y35" s="72"/>
      <c r="Z35" s="55">
        <f>Z34+V35</f>
        <v>3875.08</v>
      </c>
      <c r="AA35" s="56">
        <f>AA34+W35</f>
        <v>52502</v>
      </c>
      <c r="AB35" s="93">
        <f>AB34+X35</f>
        <v>230</v>
      </c>
      <c r="AC35" s="72"/>
      <c r="AD35" s="55">
        <f>AD34+Z35</f>
        <v>4610.29</v>
      </c>
      <c r="AE35" s="56">
        <f>AE34+AA35</f>
        <v>61120</v>
      </c>
      <c r="AF35" s="93">
        <f>AF34+AB35</f>
        <v>230</v>
      </c>
      <c r="AG35" s="72"/>
      <c r="AH35" s="100">
        <f>AH34+AD35</f>
        <v>5468.3</v>
      </c>
      <c r="AI35" s="56">
        <f>AI34+AE35</f>
        <v>71392</v>
      </c>
      <c r="AJ35" s="93">
        <f>AJ34+AF35</f>
        <v>255.6</v>
      </c>
      <c r="AK35" s="72"/>
      <c r="AL35" s="55">
        <f>AL34+AH35</f>
        <v>6167.72</v>
      </c>
      <c r="AM35" s="56">
        <f>AM34+AI35</f>
        <v>78872</v>
      </c>
      <c r="AN35" s="93">
        <f>AN34+AJ35</f>
        <v>288</v>
      </c>
      <c r="AO35" s="72"/>
      <c r="AP35" s="55">
        <f>AP34+AL35</f>
        <v>6694.81</v>
      </c>
      <c r="AQ35" s="56">
        <f>AQ34+AM35</f>
        <v>83092</v>
      </c>
      <c r="AR35" s="93">
        <f>AR34+AN35</f>
        <v>288</v>
      </c>
      <c r="AS35" s="72"/>
      <c r="AT35" s="55">
        <f>AT34+AP35</f>
        <v>7159.8700000000008</v>
      </c>
      <c r="AU35" s="56">
        <f>AU34+AQ35</f>
        <v>87052</v>
      </c>
      <c r="AV35" s="93">
        <f>AV34+AR35</f>
        <v>288</v>
      </c>
      <c r="AW35" s="106"/>
    </row>
    <row r="36" spans="1:49" s="54" customFormat="1" ht="11.25" x14ac:dyDescent="0.2">
      <c r="A36" s="54" t="s">
        <v>152</v>
      </c>
      <c r="B36" s="59">
        <f>MAX(B3:B33)</f>
        <v>37.299999999999997</v>
      </c>
      <c r="C36" s="60">
        <f>MAX(C3:C33)</f>
        <v>1020</v>
      </c>
      <c r="D36" s="188">
        <f>MAX(D3:D33)</f>
        <v>2.4999999999999998E-2</v>
      </c>
      <c r="E36" s="73"/>
      <c r="F36" s="59">
        <f>MAX(F3:F33)</f>
        <v>38.9</v>
      </c>
      <c r="G36" s="60">
        <f>MAX(G3:G33)</f>
        <v>446</v>
      </c>
      <c r="H36" s="188">
        <f>MAX(H3:H33)</f>
        <v>4.2361111111111106E-2</v>
      </c>
      <c r="I36" s="73"/>
      <c r="J36" s="59">
        <f>MAX(J3:J33)</f>
        <v>62.3</v>
      </c>
      <c r="K36" s="60">
        <f>MAX(K3:K33)</f>
        <v>766</v>
      </c>
      <c r="L36" s="188">
        <f>MAX(L3:L33)</f>
        <v>2.0833333333333332E-2</v>
      </c>
      <c r="M36" s="73"/>
      <c r="N36" s="59">
        <f>MAX(N3:N33)</f>
        <v>85.45</v>
      </c>
      <c r="O36" s="60">
        <f>MAX(O3:O33)</f>
        <v>1128</v>
      </c>
      <c r="P36" s="188">
        <f>MAX(P3:P33)</f>
        <v>0</v>
      </c>
      <c r="Q36" s="73"/>
      <c r="R36" s="59">
        <f>MAX(R3:R33)</f>
        <v>109.87</v>
      </c>
      <c r="S36" s="60">
        <f>MAX(S3:S33)</f>
        <v>1755</v>
      </c>
      <c r="T36" s="188">
        <f>MAX(T3:T33)</f>
        <v>6.5277777777777782E-2</v>
      </c>
      <c r="U36" s="73"/>
      <c r="V36" s="59">
        <f>MAX(V3:V33)</f>
        <v>133.09</v>
      </c>
      <c r="W36" s="60">
        <f>MAX(W3:W33)</f>
        <v>1445</v>
      </c>
      <c r="X36" s="188">
        <f>MAX(X3:X33)</f>
        <v>4.1666666666666664E-2</v>
      </c>
      <c r="Y36" s="73"/>
      <c r="Z36" s="59">
        <f>MAX(Z3:Z33)</f>
        <v>100.98</v>
      </c>
      <c r="AA36" s="377">
        <f>MAX(AA3:AA33)</f>
        <v>2480</v>
      </c>
      <c r="AB36" s="188">
        <f>MAX(AB3:AB33)</f>
        <v>8.6805555555555566E-2</v>
      </c>
      <c r="AC36" s="73"/>
      <c r="AD36" s="59">
        <f>MAX(AD3:AD33)</f>
        <v>84.98</v>
      </c>
      <c r="AE36" s="60">
        <f>MAX(AE3:AE33)</f>
        <v>983</v>
      </c>
      <c r="AF36" s="188">
        <f>MAX(AF3:AF33)</f>
        <v>0</v>
      </c>
      <c r="AG36" s="73"/>
      <c r="AH36" s="378">
        <f>MAX(AH3:AH33)</f>
        <v>85.45</v>
      </c>
      <c r="AI36" s="60">
        <f>MAX(AI3:AI33)</f>
        <v>1310</v>
      </c>
      <c r="AJ36" s="188">
        <f>MAX(AJ3:AJ33)</f>
        <v>4.4444444444444446E-2</v>
      </c>
      <c r="AK36" s="73"/>
      <c r="AL36" s="59">
        <f>MAX(AL3:AL33)</f>
        <v>65.8</v>
      </c>
      <c r="AM36" s="60">
        <f>MAX(AM3:AM33)</f>
        <v>1080</v>
      </c>
      <c r="AN36" s="188">
        <f>MAX(AN3:AN33)</f>
        <v>3.5416666666666666E-2</v>
      </c>
      <c r="AO36" s="73"/>
      <c r="AP36" s="59">
        <f>MAX(AP3:AP33)</f>
        <v>51.019999999999996</v>
      </c>
      <c r="AQ36" s="60">
        <f>MAX(AQ3:AQ33)</f>
        <v>584</v>
      </c>
      <c r="AR36" s="188">
        <f>MAX(AR3:AR33)</f>
        <v>0</v>
      </c>
      <c r="AS36" s="73"/>
      <c r="AT36" s="59">
        <f>MAX(AT3:AT33)</f>
        <v>60.21</v>
      </c>
      <c r="AU36" s="60">
        <f>MAX(AU3:AU33)</f>
        <v>517</v>
      </c>
      <c r="AV36" s="188">
        <f>MAX(AV3:AV33)</f>
        <v>0</v>
      </c>
      <c r="AW36" s="73"/>
    </row>
    <row r="37" spans="1:49" s="54" customFormat="1" ht="11.25" x14ac:dyDescent="0.2">
      <c r="A37" s="54" t="s">
        <v>348</v>
      </c>
      <c r="B37" s="59">
        <f>IFERROR(AVERAGE(B3:B33),0)</f>
        <v>17.702399999999997</v>
      </c>
      <c r="C37" s="60">
        <f>IFERROR(AVERAGE(C3:C33),0)</f>
        <v>369.68</v>
      </c>
      <c r="D37" s="188">
        <f>IFERROR(AVERAGE(D3:D33),0)</f>
        <v>2.4999999999999998E-2</v>
      </c>
      <c r="E37" s="73"/>
      <c r="F37" s="59">
        <f>IFERROR(AVERAGE(F3:F33),0)</f>
        <v>19.616666666666667</v>
      </c>
      <c r="G37" s="60">
        <f>IFERROR(AVERAGE(G3:G33),0)</f>
        <v>138.91666666666666</v>
      </c>
      <c r="H37" s="188">
        <f>IFERROR(AVERAGE(H3:H33),0)</f>
        <v>3.6342592592592593E-2</v>
      </c>
      <c r="I37" s="73"/>
      <c r="J37" s="59">
        <f>IFERROR(AVERAGE(J3:J33),0)</f>
        <v>25.352272727272727</v>
      </c>
      <c r="K37" s="60">
        <f>IFERROR(AVERAGE(K3:K33),0)</f>
        <v>230.31818181818181</v>
      </c>
      <c r="L37" s="188">
        <f>IFERROR(AVERAGE(L3:L33),0)</f>
        <v>2.0833333333333332E-2</v>
      </c>
      <c r="M37" s="73"/>
      <c r="N37" s="59">
        <f>IFERROR(AVERAGE(N3:N33),0)</f>
        <v>26.174999999999997</v>
      </c>
      <c r="O37" s="60">
        <f>IFERROR(AVERAGE(O3:O33),0)</f>
        <v>291.95454545454544</v>
      </c>
      <c r="P37" s="188">
        <f>IFERROR(AVERAGE(P3:P33),0)</f>
        <v>0</v>
      </c>
      <c r="Q37" s="73"/>
      <c r="R37" s="59">
        <f>IFERROR(AVERAGE(R3:R33),0)</f>
        <v>26.539285714285718</v>
      </c>
      <c r="S37" s="60">
        <f>IFERROR(AVERAGE(S3:S33),0)</f>
        <v>368.92857142857144</v>
      </c>
      <c r="T37" s="188">
        <f>IFERROR(AVERAGE(T3:T33),0)</f>
        <v>3.8657407407407411E-2</v>
      </c>
      <c r="U37" s="73"/>
      <c r="V37" s="59">
        <f>IFERROR(AVERAGE(V3:V33),0)</f>
        <v>39.971304347826084</v>
      </c>
      <c r="W37" s="60">
        <f>IFERROR(AVERAGE(W3:W33),0)</f>
        <v>550.43478260869563</v>
      </c>
      <c r="X37" s="188">
        <f>IFERROR(AVERAGE(X3:X33),0)</f>
        <v>4.1666666666666664E-2</v>
      </c>
      <c r="Y37" s="73"/>
      <c r="Z37" s="59">
        <f>IFERROR(AVERAGE(Z3:Z33),0)</f>
        <v>25.754333333333332</v>
      </c>
      <c r="AA37" s="60">
        <f>IFERROR(AVERAGE(AA3:AA33),0)</f>
        <v>409.26666666666665</v>
      </c>
      <c r="AB37" s="188">
        <f>IFERROR(AVERAGE(AB3:AB33),0)</f>
        <v>8.6805555555555566E-2</v>
      </c>
      <c r="AC37" s="73"/>
      <c r="AD37" s="59">
        <f>IFERROR(AVERAGE(AD3:AD33),0)</f>
        <v>26.257500000000004</v>
      </c>
      <c r="AE37" s="60">
        <f>IFERROR(AVERAGE(AE3:AE33),0)</f>
        <v>307.78571428571428</v>
      </c>
      <c r="AF37" s="188">
        <f>IFERROR(AVERAGE(AF3:AF33),0)</f>
        <v>0</v>
      </c>
      <c r="AG37" s="73"/>
      <c r="AH37" s="59">
        <f>IFERROR(AVERAGE(AH3:AH33),0)</f>
        <v>28.600333333333332</v>
      </c>
      <c r="AI37" s="60">
        <f>IFERROR(AVERAGE(AI3:AI33),0)</f>
        <v>342.4</v>
      </c>
      <c r="AJ37" s="188">
        <f>IFERROR(AVERAGE(AJ3:AJ33),0)</f>
        <v>4.4444444444444446E-2</v>
      </c>
      <c r="AK37" s="73"/>
      <c r="AL37" s="59">
        <f>IFERROR(AVERAGE(AL3:AL33),0)</f>
        <v>23.314000000000004</v>
      </c>
      <c r="AM37" s="60">
        <f>IFERROR(AVERAGE(AM3:AM33),0)</f>
        <v>249.33333333333334</v>
      </c>
      <c r="AN37" s="188">
        <f>IFERROR(AVERAGE(AN3:AN33),0)</f>
        <v>2.8124999999999997E-2</v>
      </c>
      <c r="AO37" s="73"/>
      <c r="AP37" s="59">
        <f>IFERROR(AVERAGE(AP3:AP33),0)</f>
        <v>18.824642857142859</v>
      </c>
      <c r="AQ37" s="60">
        <f>IFERROR(AVERAGE(AQ3:AQ33),0)</f>
        <v>150.71428571428572</v>
      </c>
      <c r="AR37" s="188">
        <f>IFERROR(AVERAGE(AR3:AR33),0)</f>
        <v>0</v>
      </c>
      <c r="AS37" s="73"/>
      <c r="AT37" s="59">
        <f>IFERROR(AVERAGE(AT3:AT33),0)</f>
        <v>19.377499999999998</v>
      </c>
      <c r="AU37" s="60">
        <f>IFERROR(AVERAGE(AU3:AU33),0)</f>
        <v>165</v>
      </c>
      <c r="AV37" s="188">
        <f>IFERROR(AVERAGE(AV3:AV33),0)</f>
        <v>0</v>
      </c>
      <c r="AW37" s="73"/>
    </row>
    <row r="38" spans="1:49" s="54" customFormat="1" ht="11.25" x14ac:dyDescent="0.2">
      <c r="A38" s="54" t="s">
        <v>241</v>
      </c>
      <c r="B38" s="59">
        <f>B34-'12'!B34</f>
        <v>15.389999999999816</v>
      </c>
      <c r="C38" s="91">
        <f>C34-'12'!C34</f>
        <v>5542</v>
      </c>
      <c r="D38" s="119">
        <f>IF(B34+D34=0,0,D34/(B34+D34))</f>
        <v>3.1512605042016806E-2</v>
      </c>
      <c r="E38" s="73"/>
      <c r="F38" s="59">
        <f>F34-'12'!F34</f>
        <v>-249.35999999999993</v>
      </c>
      <c r="G38" s="91">
        <f>G34-'12'!G34</f>
        <v>-2399</v>
      </c>
      <c r="H38" s="119">
        <f>IF(F34+H34=0,0,H34/(F34+H34))</f>
        <v>0.21059691482226695</v>
      </c>
      <c r="I38" s="73"/>
      <c r="J38" s="59">
        <f>J34-'12'!J34</f>
        <v>-72.6400000000001</v>
      </c>
      <c r="K38" s="91">
        <f>K34-'12'!K34</f>
        <v>-1347</v>
      </c>
      <c r="L38" s="119">
        <f>IF(J34+L34=0,0,L34/(J34+L34))</f>
        <v>2.1061869240895131E-2</v>
      </c>
      <c r="M38" s="73"/>
      <c r="N38" s="59">
        <f>N34-'12'!N34</f>
        <v>-123.06000000000006</v>
      </c>
      <c r="O38" s="91">
        <f>O34-'12'!O34</f>
        <v>-1891</v>
      </c>
      <c r="P38" s="119">
        <f>IF(N34+P34=0,0,P34/(N34+P34))</f>
        <v>0</v>
      </c>
      <c r="Q38" s="73"/>
      <c r="R38" s="59">
        <f>R34-'12'!R34</f>
        <v>-522.70500000000015</v>
      </c>
      <c r="S38" s="91">
        <f>S34-'12'!S34</f>
        <v>-7186</v>
      </c>
      <c r="T38" s="119">
        <f>IF(R34+T34=0,0,T34/(R34+T34))</f>
        <v>0.15238964297935439</v>
      </c>
      <c r="U38" s="73"/>
      <c r="V38" s="59">
        <f>V34-'12'!V34</f>
        <v>51.580000000000155</v>
      </c>
      <c r="W38" s="91">
        <f>W34-'12'!W34</f>
        <v>3655</v>
      </c>
      <c r="X38" s="119">
        <f>IF(V34+X34=0,0,X34/(V34+X34))</f>
        <v>2.5441516314372338E-2</v>
      </c>
      <c r="Y38" s="73"/>
      <c r="Z38" s="59">
        <f>Z34-'12'!Z34</f>
        <v>-83.090000000000032</v>
      </c>
      <c r="AA38" s="91">
        <f>AA34-'12'!AA34</f>
        <v>1988</v>
      </c>
      <c r="AB38" s="119">
        <f>IF(Z34+AB34=0,0,AB34/(Z34+AB34))</f>
        <v>6.0780666885477085E-2</v>
      </c>
      <c r="AC38" s="73"/>
      <c r="AD38" s="59">
        <f>AD34-'12'!AD34</f>
        <v>-281.73999999999978</v>
      </c>
      <c r="AE38" s="91">
        <f>AE34-'12'!AE34</f>
        <v>-4843</v>
      </c>
      <c r="AF38" s="119">
        <f>IF(AD34+AF34=0,0,AF34/(AD34+AF34))</f>
        <v>0</v>
      </c>
      <c r="AG38" s="73"/>
      <c r="AH38" s="59">
        <f>AH34-'12'!AH34</f>
        <v>439.95</v>
      </c>
      <c r="AI38" s="91">
        <f>AI34-'12'!AI34</f>
        <v>5637</v>
      </c>
      <c r="AJ38" s="119">
        <f>IF(AH34+AJ34=0,0,AJ34/(AH34+AJ34))</f>
        <v>2.8972057808309099E-2</v>
      </c>
      <c r="AK38" s="73"/>
      <c r="AL38" s="59">
        <f>AL34-'12'!AL34</f>
        <v>49.330000000000155</v>
      </c>
      <c r="AM38" s="91">
        <f>AM34-'12'!AM34</f>
        <v>87</v>
      </c>
      <c r="AN38" s="119">
        <f>IF(AL34+AN34=0,0,AN34/(AL34+AN34))</f>
        <v>4.427318192998278E-2</v>
      </c>
      <c r="AO38" s="73"/>
      <c r="AP38" s="59">
        <f>AP34-'12'!AP34</f>
        <v>58.409999999999968</v>
      </c>
      <c r="AQ38" s="91">
        <f>AQ34-'12'!AQ34</f>
        <v>-336</v>
      </c>
      <c r="AR38" s="119">
        <f>IF(AP34+AR34=0,0,AR34/(AP34+AR34))</f>
        <v>0</v>
      </c>
      <c r="AS38" s="73"/>
      <c r="AT38" s="59">
        <f>AT34-'12'!AT34</f>
        <v>70.129999999999939</v>
      </c>
      <c r="AU38" s="91">
        <f>AU34-'12'!AU34</f>
        <v>-1118</v>
      </c>
      <c r="AV38" s="119">
        <f>IF(AT34+AV34=0,0,AV34/(AT34+AV34))</f>
        <v>0</v>
      </c>
      <c r="AW38" s="73"/>
    </row>
    <row r="39" spans="1:49" s="1" customFormat="1" x14ac:dyDescent="0.2">
      <c r="A39" s="51" t="s">
        <v>158</v>
      </c>
      <c r="B39" s="177" t="s">
        <v>242</v>
      </c>
      <c r="C39" s="178">
        <v>24</v>
      </c>
      <c r="D39" s="189">
        <v>4.1666666666666664E-2</v>
      </c>
      <c r="E39" s="205"/>
      <c r="H39" s="206"/>
      <c r="I39" s="205"/>
      <c r="J39" s="55">
        <f>SUM(B34,F34,J34)</f>
        <v>1235.71</v>
      </c>
      <c r="K39" s="56">
        <f t="shared" ref="K39:L39" si="12">SUM(C34,G34,K34)</f>
        <v>15976</v>
      </c>
      <c r="L39" s="207">
        <f t="shared" si="12"/>
        <v>89.199999999999989</v>
      </c>
      <c r="M39" s="205"/>
      <c r="P39" s="206"/>
      <c r="Q39" s="205"/>
      <c r="T39" s="206"/>
      <c r="U39" s="205"/>
      <c r="V39" s="55">
        <f>SUM(N34,R34,V34)</f>
        <v>1866.7399999999998</v>
      </c>
      <c r="W39" s="56">
        <f>SUM(O34,S34,W34)</f>
        <v>24248</v>
      </c>
      <c r="X39" s="207">
        <f>SUM(P34,T34,X34)</f>
        <v>90.800000000000011</v>
      </c>
      <c r="Y39" s="205"/>
      <c r="AB39" s="206"/>
      <c r="AC39" s="205"/>
      <c r="AF39" s="206"/>
      <c r="AG39" s="205"/>
      <c r="AH39" s="100">
        <f>SUM(Z34,AD34,AH34)</f>
        <v>2365.8500000000004</v>
      </c>
      <c r="AI39" s="56">
        <f>SUM(AA34,AE34,AI34)</f>
        <v>31168</v>
      </c>
      <c r="AJ39" s="207">
        <f>SUM(AB34,AF34,AJ34)</f>
        <v>75.600000000000023</v>
      </c>
      <c r="AK39" s="205"/>
      <c r="AN39" s="206"/>
      <c r="AO39" s="205"/>
      <c r="AR39" s="206"/>
      <c r="AS39" s="205"/>
      <c r="AT39" s="55">
        <f>SUM(AL34,AP34,AT34)</f>
        <v>1691.5700000000002</v>
      </c>
      <c r="AU39" s="56">
        <f>SUM(AM34,AQ34,AU34)</f>
        <v>15660</v>
      </c>
      <c r="AV39" s="207">
        <f>SUM(AN34,AR34,AV34)</f>
        <v>32.4</v>
      </c>
      <c r="AW39" s="205"/>
    </row>
    <row r="40" spans="1:49" s="54" customFormat="1" ht="11.25" x14ac:dyDescent="0.2">
      <c r="A40" s="54" t="s">
        <v>347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20.890446464646462</v>
      </c>
      <c r="K40" s="60">
        <f>IFERROR(AVERAGE(C37,G37,K37),0)</f>
        <v>246.30494949494951</v>
      </c>
      <c r="L40" s="188">
        <f>IFERROR(AVERAGE(D37,H37,L37),0)</f>
        <v>2.7391975308641972E-2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30.8951966873706</v>
      </c>
      <c r="W40" s="60">
        <f>IFERROR(AVERAGE(O37,S37,W37),0)</f>
        <v>403.77263316393754</v>
      </c>
      <c r="X40" s="188">
        <f>IFERROR(AVERAGE(P37,T37,X37),0)</f>
        <v>2.6774691358024693E-2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26.870722222222224</v>
      </c>
      <c r="AI40" s="60">
        <f>IFERROR(AVERAGE(AA37,AE37,AI37),0)</f>
        <v>353.15079365079356</v>
      </c>
      <c r="AJ40" s="188">
        <f>IFERROR(AVERAGE(AB37,AF37,AJ37),0)</f>
        <v>4.3750000000000004E-2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20.505380952380953</v>
      </c>
      <c r="AU40" s="60">
        <f>IFERROR(AVERAGE(AM37,AQ37,AU37),0)</f>
        <v>188.34920634920636</v>
      </c>
      <c r="AV40" s="188">
        <f>IFERROR(AVERAGE(AN37,AR37,AV37),0)</f>
        <v>9.3749999999999997E-3</v>
      </c>
      <c r="AW40" s="73"/>
    </row>
    <row r="41" spans="1:49" s="118" customFormat="1" ht="11.25" x14ac:dyDescent="0.2">
      <c r="A41" s="115" t="s">
        <v>225</v>
      </c>
      <c r="B41" s="109">
        <f>RANK(B34,(B34,F34,J34,N34,R34,V34,Z34,AD34,AH34,AL34,AP34,AT34))</f>
        <v>10</v>
      </c>
      <c r="C41" s="110">
        <f>RANK(C34,(C34,G34,K34,O34,S34,W34,AA34,AE34,AI34,AM34,AQ34,AU34))</f>
        <v>4</v>
      </c>
      <c r="D41" s="116">
        <f>RANK(D34,(D34,H34,L34,P34,T34,X34,AB34,AF34,AJ34,AN34,AR34,AV34))</f>
        <v>7</v>
      </c>
      <c r="E41" s="117"/>
      <c r="F41" s="109">
        <f>RANK(F34,(B34,F34,J34,N34,R34,V34,Z34,AD34,AH34,AL34,AP34,AT34))</f>
        <v>12</v>
      </c>
      <c r="G41" s="110">
        <f>RANK(G34,(C34,G34,K34,O34,S34,W34,AA34,AE34,AI34,AM34,AQ34,AU34))</f>
        <v>12</v>
      </c>
      <c r="H41" s="116">
        <f>RANK(H34,(D34,H34,L34,P34,T34,X34,AB34,AF34,AJ34,AN34,AR34,AV34))</f>
        <v>2</v>
      </c>
      <c r="I41" s="117"/>
      <c r="J41" s="109">
        <f>RANK(J34,(B34,F34,J34,N34,R34,V34,Z34,AD34,AH34,AL34,AP34,AT34))</f>
        <v>7</v>
      </c>
      <c r="K41" s="110">
        <f>RANK(K34,(C34,G34,K34,O34,S34,W34,AA34,AE34,AI34,AM34,AQ34,AU34))</f>
        <v>9</v>
      </c>
      <c r="L41" s="116">
        <f>RANK(L34,(D34,H34,L34,P34,T34,X34,AB34,AF34,AJ34,AN34,AR34,AV34))</f>
        <v>8</v>
      </c>
      <c r="M41" s="117"/>
      <c r="N41" s="109">
        <f>RANK(N34,(B34,F34,J34,N34,R34,V34,Z34,AD34,AH34,AL34,AP34,AT34))</f>
        <v>6</v>
      </c>
      <c r="O41" s="110">
        <f>RANK(O34,(C34,G34,K34,O34,S34,W34,AA34,AE34,AI34,AM34,AQ34,AU34))</f>
        <v>7</v>
      </c>
      <c r="P41" s="116">
        <f>RANK(P34,(D34,H34,L34,P34,T34,X34,AB34,AF34,AJ34,AN34,AR34,AV34))</f>
        <v>9</v>
      </c>
      <c r="Q41" s="117"/>
      <c r="R41" s="109">
        <f>RANK(R34,(B34,F34,J34,N34,R34,V34,Z34,AD34,AH34,AL34,AP34,AT34))</f>
        <v>11</v>
      </c>
      <c r="S41" s="110">
        <f>RANK(S34,(C34,G34,K34,O34,S34,W34,AA34,AE34,AI34,AM34,AQ34,AU34))</f>
        <v>8</v>
      </c>
      <c r="T41" s="116">
        <f>RANK(T34,(D34,H34,L34,P34,T34,X34,AB34,AF34,AJ34,AN34,AR34,AV34))</f>
        <v>1</v>
      </c>
      <c r="U41" s="117"/>
      <c r="V41" s="109">
        <f>RANK(V34,(B34,F34,J34,N34,R34,V34,Z34,AD34,AH34,AL34,AP34,AT34))</f>
        <v>1</v>
      </c>
      <c r="W41" s="110">
        <f>RANK(W34,(C34,G34,K34,O34,S34,W34,AA34,AE34,AI34,AM34,AQ34,AU34))</f>
        <v>1</v>
      </c>
      <c r="X41" s="116">
        <f>RANK(X34,(D34,H34,L34,P34,T34,X34,AB34,AF34,AJ34,AN34,AR34,AV34))</f>
        <v>6</v>
      </c>
      <c r="Y41" s="117"/>
      <c r="Z41" s="109">
        <f>RANK(Z34,(B34,F34,J34,N34,R34,V34,Z34,AD34,AH34,AL34,AP34,AT34))</f>
        <v>3</v>
      </c>
      <c r="AA41" s="110">
        <f>RANK(AA34,(C34,G34,K34,O34,S34,W34,AA34,AE34,AI34,AM34,AQ34,AU34))</f>
        <v>2</v>
      </c>
      <c r="AB41" s="116">
        <f>RANK(AB34,(D34,H34,L34,P34,T34,X34,AB34,AF34,AJ34,AN34,AR34,AV34))</f>
        <v>3</v>
      </c>
      <c r="AC41" s="117"/>
      <c r="AD41" s="109">
        <f>RANK(AD34,(B34,F34,J34,N34,R34,V34,Z34,AD34,AH34,AL34,AP34,AT34))</f>
        <v>4</v>
      </c>
      <c r="AE41" s="110">
        <f>RANK(AE34,(C34,G34,K34,O34,S34,W34,AA34,AE34,AI34,AM34,AQ34,AU34))</f>
        <v>5</v>
      </c>
      <c r="AF41" s="116">
        <f>RANK(AF34,(D34,H34,L34,P34,T34,X34,AB34,AF34,AJ34,AN34,AR34,AV34))</f>
        <v>9</v>
      </c>
      <c r="AG41" s="117"/>
      <c r="AH41" s="109">
        <f>RANK(AH34,(B34,F34,J34,N34,R34,V34,Z34,AD34,AH34,AL34,AP34,AT34))</f>
        <v>2</v>
      </c>
      <c r="AI41" s="110">
        <f>RANK(AI34,(C34,G34,K34,O34,S34,W34,AA34,AE34,AI34,AM34,AQ34,AU34))</f>
        <v>3</v>
      </c>
      <c r="AJ41" s="116">
        <f>RANK(AJ34,(D34,H34,L34,P34,T34,X34,AB34,AF34,AJ34,AN34,AR34,AV34))</f>
        <v>5</v>
      </c>
      <c r="AK41" s="117"/>
      <c r="AL41" s="109">
        <f>RANK(AL34,(B34,F34,J34,N34,R34,V34,Z34,AD34,AH34,AL34,AP34,AT34))</f>
        <v>5</v>
      </c>
      <c r="AM41" s="110">
        <f>RANK(AM34,(C34,G34,K34,O34,S34,W34,AA34,AE34,AI34,AM34,AQ34,AU34))</f>
        <v>6</v>
      </c>
      <c r="AN41" s="116">
        <f>RANK(AN34,(D34,H34,L34,P34,T34,X34,AB34,AF34,AJ34,AN34,AR34,AV34))</f>
        <v>4</v>
      </c>
      <c r="AO41" s="117"/>
      <c r="AP41" s="109">
        <f>RANK(AP34,(B34,F34,J34,N34,R34,V34,Z34,AD34,AH34,AL34,AP34,AT34))</f>
        <v>8</v>
      </c>
      <c r="AQ41" s="110">
        <f>RANK(AQ34,(C34,G34,K34,O34,S34,W34,AA34,AE34,AI34,AM34,AQ34,AU34))</f>
        <v>10</v>
      </c>
      <c r="AR41" s="116">
        <f>RANK(AR34,(D34,H34,L34,P34,T34,X34,AB34,AF34,AJ34,AN34,AR34,AV34))</f>
        <v>9</v>
      </c>
      <c r="AS41" s="117"/>
      <c r="AT41" s="109">
        <f>RANK(AT34,(B34,F34,J34,N34,R34,V34,Z34,AD34,AH34,AL34,AP34,AT34))</f>
        <v>9</v>
      </c>
      <c r="AU41" s="110">
        <f>RANK(AU34,(C34,G34,K34,O34,S34,W34,AA34,AE34,AI34,AM34,AQ34,AU34))</f>
        <v>11</v>
      </c>
      <c r="AV41" s="116">
        <f>RANK(AV34,(D34,H34,L34,P34,T34,X34,AB34,AF34,AJ34,AN34,AR34,AV34))</f>
        <v>9</v>
      </c>
      <c r="AW41" s="122"/>
    </row>
    <row r="42" spans="1:49" s="54" customFormat="1" ht="11.25" x14ac:dyDescent="0.2">
      <c r="A42" s="57" t="s">
        <v>218</v>
      </c>
      <c r="B42" s="100">
        <f>T1</f>
        <v>24.790436581655058</v>
      </c>
      <c r="C42" s="101">
        <f>AB1</f>
        <v>297.89439566472174</v>
      </c>
      <c r="D42" s="102"/>
      <c r="E42" s="214" t="s">
        <v>404</v>
      </c>
      <c r="F42" s="215">
        <f>SUM(J23:J33,N3:N33,R3:R33,V3:V33,Z3:Z33,AD3:AD33,AH3:AH23)</f>
        <v>4246.0399999999991</v>
      </c>
      <c r="G42" s="216">
        <f>SUM(K23:K33,O3:O32,S3:S33,W3:W32,AA3:AA33,AE3:AE33,AI3:AI23)</f>
        <v>55221</v>
      </c>
      <c r="H42" s="217"/>
      <c r="I42" s="217"/>
      <c r="J42" s="218">
        <f>IFERROR(F42/(F42+F43),0)</f>
        <v>0.59303311372971834</v>
      </c>
      <c r="K42" s="218">
        <f>IFERROR(G42/(G42+G43),0)</f>
        <v>0.63434498920185634</v>
      </c>
      <c r="L42" s="217"/>
      <c r="M42" s="309" t="s">
        <v>606</v>
      </c>
      <c r="N42" s="307">
        <v>63</v>
      </c>
      <c r="Y42" s="173"/>
      <c r="AK42" s="255" t="s">
        <v>484</v>
      </c>
      <c r="AL42" s="52">
        <f>MAX(B34,F34,J34,N34,R34,V34,Z34,AD34,AH34,AL34,AP34,AT34)</f>
        <v>919.33999999999992</v>
      </c>
      <c r="AM42" s="256">
        <f>MAX(C34,G34,K34,O34,S34,W34,AA34,AE34,AI34,AM34,AQ34,AU34)</f>
        <v>12660</v>
      </c>
      <c r="AN42" s="54" t="s">
        <v>351</v>
      </c>
      <c r="AO42" s="253" t="s">
        <v>349</v>
      </c>
      <c r="AP42" s="59">
        <f>R1-'12'!R1</f>
        <v>-159.53</v>
      </c>
      <c r="AQ42" s="91">
        <f>AF1-'12'!AF1</f>
        <v>-2033</v>
      </c>
      <c r="AR42" s="54" t="s">
        <v>350</v>
      </c>
      <c r="AS42" s="252" t="s">
        <v>349</v>
      </c>
      <c r="AT42" s="59">
        <f>I1-'12'!I1</f>
        <v>2.75</v>
      </c>
      <c r="AU42" s="91">
        <f>AN1-'12'!AN1</f>
        <v>250</v>
      </c>
      <c r="AV42" s="54" t="s">
        <v>351</v>
      </c>
      <c r="AW42" s="73"/>
    </row>
    <row r="43" spans="1:49" s="54" customFormat="1" ht="11.25" x14ac:dyDescent="0.2">
      <c r="A43" s="57" t="s">
        <v>219</v>
      </c>
      <c r="B43" s="100">
        <f>E1/365</f>
        <v>19.616082191780823</v>
      </c>
      <c r="C43" s="101">
        <f>AU1/365</f>
        <v>238.49863013698629</v>
      </c>
      <c r="D43" s="102"/>
      <c r="E43" s="210" t="s">
        <v>405</v>
      </c>
      <c r="F43" s="211">
        <f>E1-F42</f>
        <v>2913.8300000000017</v>
      </c>
      <c r="G43" s="212">
        <f>AU1-G42</f>
        <v>31831</v>
      </c>
      <c r="H43" s="213"/>
      <c r="I43" s="213"/>
      <c r="J43" s="219">
        <f>IFERROR(F43/(F42+F43),0)</f>
        <v>0.40696688627028166</v>
      </c>
      <c r="K43" s="219">
        <f>IFERROR(G43/(G42+G43),0)</f>
        <v>0.36565501079814366</v>
      </c>
      <c r="L43" s="213"/>
      <c r="M43" s="71" t="s">
        <v>607</v>
      </c>
      <c r="N43" s="308">
        <v>12</v>
      </c>
      <c r="Y43" s="73"/>
      <c r="AK43" s="257" t="s">
        <v>487</v>
      </c>
      <c r="AL43" s="228">
        <f>IF($B$1&lt;&gt;0,$AV$35/$B1,0)</f>
        <v>3.8668773756792209E-2</v>
      </c>
      <c r="AO43" s="254" t="s">
        <v>349</v>
      </c>
      <c r="AP43" s="59">
        <f>AV35-'12'!AV35</f>
        <v>-611.20000000000005</v>
      </c>
      <c r="AQ43" s="228">
        <f>AL43-'12'!AL43</f>
        <v>-6.4605937319225287E-2</v>
      </c>
      <c r="AR43" s="54" t="s">
        <v>208</v>
      </c>
      <c r="AS43" s="252" t="s">
        <v>349</v>
      </c>
      <c r="AT43" s="59">
        <f>B1-'12'!B1</f>
        <v>-1259.005000000001</v>
      </c>
      <c r="AU43" s="91">
        <f>AU1-'12'!AU1</f>
        <v>-2211</v>
      </c>
      <c r="AV43" s="54" t="s">
        <v>352</v>
      </c>
      <c r="AW43" s="73"/>
    </row>
  </sheetData>
  <sheetProtection password="CC70" sheet="1" objects="1" scenarios="1"/>
  <mergeCells count="19">
    <mergeCell ref="AU1:AV1"/>
    <mergeCell ref="AH1:AI1"/>
    <mergeCell ref="AJ1:AK1"/>
    <mergeCell ref="AL1:AM1"/>
    <mergeCell ref="AN1:AO1"/>
    <mergeCell ref="AP1:AQ1"/>
    <mergeCell ref="AR1:AS1"/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</mergeCells>
  <conditionalFormatting sqref="B34 F34 J34 N34 R34 V34 Z34 AD34 AH34 AL34 AP34 AT34">
    <cfRule type="cellIs" dxfId="522" priority="66" operator="equal">
      <formula>$R$1</formula>
    </cfRule>
    <cfRule type="cellIs" dxfId="521" priority="67" operator="equal">
      <formula>$M$1</formula>
    </cfRule>
  </conditionalFormatting>
  <conditionalFormatting sqref="C34 G34 K34 O34 S34 W34 AA34 AE34 AI34 AM34 AQ34 AU34">
    <cfRule type="cellIs" dxfId="520" priority="65" operator="equal">
      <formula>$AF$1</formula>
    </cfRule>
    <cfRule type="cellIs" dxfId="519" priority="68" operator="equal">
      <formula>$AJ$1</formula>
    </cfRule>
  </conditionalFormatting>
  <conditionalFormatting sqref="B38:C38 AT42:AU43 AP42:AQ42 F38:G38 J38:K38 N38:O38 R38:S38 V38:W38 Z38:AA38 AD38:AE38 AH38:AI38 AL38:AM38 AP38:AQ38 AT38:AU38">
    <cfRule type="cellIs" dxfId="518" priority="62" operator="lessThan">
      <formula>0</formula>
    </cfRule>
    <cfRule type="cellIs" dxfId="517" priority="63" operator="greaterThanOrEqual">
      <formula>0</formula>
    </cfRule>
  </conditionalFormatting>
  <conditionalFormatting sqref="C38 AU42:AU43 AQ42 G38 K38 O38 S38 W38 AA38 AE38 AI38 AM38 AQ38 AU38">
    <cfRule type="cellIs" dxfId="516" priority="60" operator="lessThan">
      <formula>0</formula>
    </cfRule>
    <cfRule type="cellIs" dxfId="515" priority="61" operator="greaterThanOrEqual">
      <formula>0</formula>
    </cfRule>
  </conditionalFormatting>
  <conditionalFormatting sqref="D38">
    <cfRule type="cellIs" dxfId="514" priority="53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513" priority="52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512" priority="51" operator="equal">
      <formula>MAX($D$34,$H$34,$L$34,$P$34,$T$34,$X$34,$AB$34,$AF$34,$AJ$34,$AN$34,$AR$34,$AV$34)</formula>
    </cfRule>
  </conditionalFormatting>
  <conditionalFormatting sqref="D3:D33 H3:H33 L3:L33 P3:P33 T3:T33 X3:X33 AB3:AB33 AF3:AF33 AJ3:AJ33 AN3:AN33 AR3:AR33 AV3:AV33">
    <cfRule type="cellIs" dxfId="511" priority="48" stopIfTrue="1" operator="between">
      <formula>0</formula>
      <formula>0.0416550925925926</formula>
    </cfRule>
    <cfRule type="cellIs" dxfId="510" priority="49" stopIfTrue="1" operator="between">
      <formula>0.0416666666666667</formula>
      <formula>0.0833217592592593</formula>
    </cfRule>
    <cfRule type="cellIs" dxfId="509" priority="50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508" priority="36" operator="equal">
      <formula>MAX($D$36,$H$36,$L$36,$P$36,$T$36,$X$36,$AB$36,$AF$36,$AJ$36,$AN$36,$AR$36,$AV$36)</formula>
    </cfRule>
  </conditionalFormatting>
  <conditionalFormatting sqref="AP43">
    <cfRule type="cellIs" dxfId="507" priority="34" operator="lessThan">
      <formula>0</formula>
    </cfRule>
    <cfRule type="cellIs" dxfId="506" priority="35" operator="greaterThanOrEqual">
      <formula>0</formula>
    </cfRule>
  </conditionalFormatting>
  <conditionalFormatting sqref="B3:B33 F3:F33 J3:J33 N3:N33 R3:R33 V3:V33 Z3:Z33 AT3:AT33 AH3:AH33 AL3:AL33 AP3:AP33 AD3:AD33">
    <cfRule type="cellIs" dxfId="505" priority="57" stopIfTrue="1" operator="lessThan">
      <formula>50</formula>
    </cfRule>
    <cfRule type="cellIs" dxfId="504" priority="58" stopIfTrue="1" operator="greaterThanOrEqual">
      <formula>100</formula>
    </cfRule>
    <cfRule type="cellIs" dxfId="503" priority="59" operator="greaterThanOrEqual">
      <formula>50</formula>
    </cfRule>
  </conditionalFormatting>
  <conditionalFormatting sqref="C3:C33 G3:G33 K3:K33 O3:O33 S3:S33 W3:W33 AA3:AA33 AU3:AU33 AI3:AI33 AM3:AM33 AQ3:AQ33 AE3:AE33">
    <cfRule type="cellIs" dxfId="502" priority="54" stopIfTrue="1" operator="between">
      <formula>0</formula>
      <formula>749.99</formula>
    </cfRule>
    <cfRule type="cellIs" dxfId="501" priority="55" stopIfTrue="1" operator="greaterThanOrEqual">
      <formula>1500</formula>
    </cfRule>
    <cfRule type="cellIs" dxfId="500" priority="56" operator="greaterThanOrEqual">
      <formula>750</formula>
    </cfRule>
  </conditionalFormatting>
  <conditionalFormatting sqref="AQ43">
    <cfRule type="cellIs" dxfId="499" priority="32" stopIfTrue="1" operator="lessThan">
      <formula>0</formula>
    </cfRule>
    <cfRule type="cellIs" dxfId="498" priority="33" operator="greaterThanOrEqual">
      <formula>0</formula>
    </cfRule>
  </conditionalFormatting>
  <conditionalFormatting sqref="AL42">
    <cfRule type="cellIs" dxfId="497" priority="26" stopIfTrue="1" operator="lessThan">
      <formula>1000</formula>
    </cfRule>
    <cfRule type="cellIs" dxfId="496" priority="27" stopIfTrue="1" operator="lessThan">
      <formula>1100</formula>
    </cfRule>
    <cfRule type="cellIs" dxfId="495" priority="28" stopIfTrue="1" operator="lessThan">
      <formula>9999</formula>
    </cfRule>
  </conditionalFormatting>
  <conditionalFormatting sqref="AM42">
    <cfRule type="cellIs" dxfId="494" priority="23" stopIfTrue="1" operator="lessThan">
      <formula>10000</formula>
    </cfRule>
    <cfRule type="cellIs" dxfId="493" priority="24" stopIfTrue="1" operator="lessThan">
      <formula>13000</formula>
    </cfRule>
    <cfRule type="cellIs" dxfId="492" priority="25" stopIfTrue="1" operator="lessThan">
      <formula>99999</formula>
    </cfRule>
  </conditionalFormatting>
  <conditionalFormatting sqref="AL43">
    <cfRule type="cellIs" dxfId="491" priority="20" stopIfTrue="1" operator="lessThan">
      <formula>0.05</formula>
    </cfRule>
    <cfRule type="cellIs" dxfId="490" priority="21" stopIfTrue="1" operator="lessThan">
      <formula>0.1</formula>
    </cfRule>
    <cfRule type="cellIs" dxfId="489" priority="22" stopIfTrue="1" operator="lessThanOrEqual">
      <formula>1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4231C10E-3109-4E75-AF6D-3EB38D98FA83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5" operator="equal" id="{B1E5462E-32DC-4FB1-949A-6800C5765F8F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47" operator="equal" id="{82895705-8382-46DE-A808-2548CA4177B7}">
            <xm:f>MAX( '12'!$C$34, '08'!$C$34,'09'!$C$34,'10'!$C$34,$C$34,'14'!$C$34)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46" operator="equal" id="{5D1DF23F-F82A-4C71-9182-1B805C34A6B0}">
            <xm:f>MAX( '12'!$G$34, '08'!$F$34,'09'!$G$34,'10'!$G$34,$G$34)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45" operator="equal" id="{7AE0F80F-DDB7-4F59-8738-5430F3FA28A9}">
            <xm:f>MAX( '12'!$K$34, '08'!$I$34,'09'!$K$34,'10'!$K$34,$K$34)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44" operator="equal" id="{2A322516-94F3-4939-BE22-3B9350D11270}">
            <xm:f>MAX( '12'!$O$34, '08'!$L$34,'09'!$O$34,'10'!$O$34,$O$34)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43" operator="equal" id="{E86D08B3-FE9D-4AE5-8370-7D735C5F9580}">
            <xm:f>MAX( '12'!$S$34, '08'!$O$34,'09'!$S$34,'10'!$S$34,$S$34)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42" operator="equal" id="{328060A1-1A02-4D66-B3C7-2F0BFADCE869}">
            <xm:f>MAX( '12'!$W$34, '08'!$R$34,'09'!$W$34,'10'!$W$34,$W$34,'14'!$W$34)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41" operator="equal" id="{2F882453-F982-4BC4-9DBB-12F6BBF74F78}">
            <xm:f>MAX( '12'!$AA$34,'08'!$U$34,'09'!$AA$34,'10'!$AA$34,$AA$34,'14'!$AA$34)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40" operator="equal" id="{0BB1D44C-5E73-46E3-AAB7-3E3BED813872}">
            <xm:f>MAX( '12'!$AE$34, '08'!$X$34,'09'!$AE$34,'10'!$AE$34,$AE$34)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39" operator="equal" id="{913D83F4-3E62-4CD0-8BE9-997A78EAF708}">
            <xm:f>MAX( '12'!$AI$34,'08'!$AA$34,'09'!$AI$34,'10'!$AI$34,$AI$34,'14'!$AI$34)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38" operator="equal" id="{E08FB036-5C50-4BEA-A13B-50A887B1B9AC}">
            <xm:f>MAX( '12'!$AM$34, '08'!$AD$34,'09'!$AM$34,'10'!$AM$34,'11'!$AM$34,$AM$34)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37" operator="equal" id="{C567B75D-B84C-4C7A-82F7-8104364BEB98}">
            <xm:f>MAX( '12'!$AQ$34, '08'!$AG$34,'09'!$AQ$34,'10'!$AQ$34,$AQ$34)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64" operator="equal" id="{778919A5-1DF5-4FA5-A42A-18A7795E28FC}">
            <xm:f>MAX( '12'!$AU$34, '08'!$AJ$34,'09'!$AU$34,'10'!$AU$34,$AU$34)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14" operator="equal" id="{56F6589C-BD87-4879-B367-7EC93F6EC8DB}">
            <xm:f>MAX( '12'!$N$34,'08'!$K$34,'09'!$N$34,'10'!$N$34,'11'!$N$34,$N$34)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30" operator="equal" id="{CA77EC72-C3B2-45E1-B64C-6E0B65ED0CA4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19" operator="equal" id="{747B779C-FAF5-4D18-B665-D35FDF09C980}">
            <xm:f>MAX($B$1,'08'!$C$1:$D$1,'09'!$B$1:$C$1,'10'!$B$1:$C$1,'11'!$B$1:$C$1)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17" operator="equal" id="{CCC8BA3D-91F8-48E8-99F2-BBBE740A4F70}">
            <xm:f>MAX( '12'!$B$34,'08'!$B$34,'09'!$B$34,'10'!$B$34,'11'!$B$34,$B$34)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16" operator="equal" id="{3425A5F8-DCB2-4F28-A498-2DA74E7E759A}">
            <xm:f>MAX( '12'!$F$34,'08'!$E$34,'09'!$F$34,'10'!$F$34,'11'!$F$34,$F$34)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15" operator="equal" id="{91F4F8F9-EE23-4097-9D7F-8EB08031E295}">
            <xm:f>MAX( '12'!$J$34,'08'!$H$34,'09'!$J$34,'10'!$J$34,'11'!$J$34,$J$34)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13" operator="equal" id="{DFAC9830-D72A-4EED-96DC-4F199E890482}">
            <xm:f>MAX( '12'!$R$34,'08'!$N$34,'09'!$R$34,'10'!$R$34,'11'!$R$34,$R$34)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12" operator="equal" id="{66CCC864-3028-4040-AF4E-7F8F0CE1F89E}">
            <xm:f>MAX( '12'!$V$34,'08'!$Q$34,'09'!$V$34,'10'!$V$34,'11'!$V$34,$V$34)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11" operator="equal" id="{218C68BB-6BEF-4469-B637-71D087D52BA3}">
            <xm:f>MAX( '12'!$Z$34,'08'!$T$34,'09'!$Z$34,'10'!$Z$34,'11'!$Z$34,$Z$34)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0" operator="equal" id="{7E1A30ED-C406-49E4-94D8-9A9F60D73811}">
            <xm:f>MAX( '12'!$AD$34,'08'!$W$34,'09'!$AD$34,'10'!$AD$34,'11'!$AD$34,$AD$34)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9" operator="equal" id="{697CB991-CD9E-48EA-BBC0-DCCC3CA6FE2A}">
            <xm:f>MAX( '12'!$AH$34,'08'!$Z$34,'09'!$AH$34,'10'!$AH$34,'11'!$AH$34,$AH$34,'14'!$AH$34)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8" operator="equal" id="{5520D2C0-B33B-460F-8BC0-E49C037E4A94}">
            <xm:f>MAX( '16'!$AL$34,'08'!$AC$34,'09'!$AL$34,'10'!$AL$34,'11'!$AL$34,$AL$34,'14'!$AL$34)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7" operator="equal" id="{81003731-6EF7-40FC-AB49-DEFCEEBBE4F4}">
            <xm:f>MAX( '12'!$AP$34,'08'!$AF$34,'09'!$AP$34,'10'!$AP$34,'11'!$AP$34,$AP$34)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6" operator="equal" id="{08E5DFEF-0A60-4E5B-8072-4AD59F6F8C56}">
            <xm:f>MAX( '15'!$AT$34,'08'!$AI$34,'09'!$AT$34,'10'!$AT$34,'11'!$AT$34,$AT$34)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3" operator="equal" id="{D106151C-8699-4C10-A2F8-5DF56E5FF7B9}">
            <xm:f>MAX($E$1,'08'!$C$1:$D$1,'09'!$E$1:$F$1,'10'!$E$1:$F$1,'11'!$E$1:$F$1)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2" operator="equal" id="{8A0046B6-366D-4211-A6AE-C172AFAACE56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1" operator="equal" id="{9D33A9FB-D72D-49CF-8F65-72717B23A2BA}">
            <xm:f>stat!$S$5</xm:f>
            <x14:dxf>
              <font>
                <b/>
                <i/>
              </font>
            </x14:dxf>
          </x14:cfRule>
          <xm:sqref>AU1:AV1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249977111117893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3" width="5" bestFit="1" customWidth="1"/>
    <col min="4" max="4" width="4.28515625" bestFit="1" customWidth="1"/>
    <col min="5" max="5" width="6.5703125" bestFit="1" customWidth="1"/>
    <col min="6" max="6" width="7" bestFit="1" customWidth="1"/>
    <col min="7" max="7" width="5.7109375" bestFit="1" customWidth="1"/>
    <col min="8" max="8" width="4" bestFit="1" customWidth="1"/>
    <col min="9" max="9" width="3.5703125" bestFit="1" customWidth="1"/>
    <col min="10" max="10" width="7" bestFit="1" customWidth="1"/>
    <col min="11" max="11" width="5.7109375" bestFit="1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.140625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6.5703125" bestFit="1" customWidth="1"/>
    <col min="35" max="35" width="5.8554687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5.7109375" bestFit="1" customWidth="1"/>
    <col min="44" max="44" width="4" bestFit="1" customWidth="1"/>
    <col min="45" max="45" width="3.7109375" bestFit="1" customWidth="1"/>
    <col min="46" max="46" width="7.140625" bestFit="1" customWidth="1"/>
    <col min="47" max="47" width="5.85546875" bestFit="1" customWidth="1"/>
    <col min="48" max="48" width="4" bestFit="1" customWidth="1"/>
    <col min="49" max="49" width="4.5703125" customWidth="1"/>
  </cols>
  <sheetData>
    <row r="1" spans="1:49" s="94" customFormat="1" ht="18" x14ac:dyDescent="0.25">
      <c r="A1" s="96" t="s">
        <v>243</v>
      </c>
      <c r="B1" s="416">
        <f>AT35+AV35</f>
        <v>8449.489999999998</v>
      </c>
      <c r="C1" s="416"/>
      <c r="D1" s="97" t="s">
        <v>243</v>
      </c>
      <c r="E1" s="417">
        <f>AT35</f>
        <v>8113.8899999999985</v>
      </c>
      <c r="F1" s="417"/>
      <c r="G1" s="418" t="s">
        <v>155</v>
      </c>
      <c r="H1" s="418"/>
      <c r="I1" s="414">
        <f>MAX(B36,F36,J36,N36,R36,V36,Z36,AD36,AH36,AL36,AP36,AT36)</f>
        <v>154.47999999999999</v>
      </c>
      <c r="J1" s="414"/>
      <c r="K1" s="419" t="s">
        <v>163</v>
      </c>
      <c r="L1" s="419"/>
      <c r="M1" s="420">
        <f>MAX(B34,F34,J34,N34,R34,V34,Z34,AD34,AH34,AL34,AP34,AT34)</f>
        <v>830.34</v>
      </c>
      <c r="N1" s="420"/>
      <c r="O1" s="413" t="s">
        <v>194</v>
      </c>
      <c r="P1" s="413"/>
      <c r="Q1" s="413"/>
      <c r="R1" s="185">
        <f>MIN(B34,F34,J34,N34,R34,V34,Z34,AD34,AH34,AL34,AP34,AT34)</f>
        <v>531.12000000000012</v>
      </c>
      <c r="S1" s="98" t="s">
        <v>211</v>
      </c>
      <c r="T1" s="426">
        <f>IFERROR(AVERAGE(B37,F37,J37,N37,R37,V37,Z37,AD37,AH37,AL37,AP37,AT37),0)</f>
        <v>24.369046054229518</v>
      </c>
      <c r="U1" s="426"/>
      <c r="V1" s="437" t="s">
        <v>647</v>
      </c>
      <c r="W1" s="437"/>
      <c r="X1" s="437"/>
      <c r="Y1" s="437"/>
      <c r="Z1" s="437"/>
      <c r="AA1" s="99" t="s">
        <v>211</v>
      </c>
      <c r="AB1" s="415">
        <f>IFERROR(AVERAGE(C37,G37,K37,O37,S37,W37,AA37,AE37,AI37,AM37,AQ37,AU37),0)</f>
        <v>263.42805021641044</v>
      </c>
      <c r="AC1" s="415"/>
      <c r="AD1" s="425" t="s">
        <v>194</v>
      </c>
      <c r="AE1" s="425"/>
      <c r="AF1" s="428">
        <f>MIN(C34,G34,K34,O34,S34,W34,AA34,AE34,AI34,AM34,AQ34,AU34)</f>
        <v>5009</v>
      </c>
      <c r="AG1" s="428"/>
      <c r="AH1" s="429" t="s">
        <v>163</v>
      </c>
      <c r="AI1" s="429"/>
      <c r="AJ1" s="430">
        <f>MAX(C34,G34,K34,O34,S34,W34,AA34,AE34,AI34,AM34,AQ34,AU34)</f>
        <v>11173</v>
      </c>
      <c r="AK1" s="430"/>
      <c r="AL1" s="432" t="s">
        <v>156</v>
      </c>
      <c r="AM1" s="432"/>
      <c r="AN1" s="431">
        <f>MAX(C36,G36,K36,O36,S36,W36,AA36,AE36,AI36,AM36,AQ36,AU36)</f>
        <v>1552</v>
      </c>
      <c r="AO1" s="431"/>
      <c r="AP1" s="421" t="s">
        <v>366</v>
      </c>
      <c r="AQ1" s="421"/>
      <c r="AR1" s="422">
        <f>MAX(D36,H36,L36,P36,T36,X36,AB36,AF36,AJ36,AN36,AR36,AV36)</f>
        <v>0.10416666666666667</v>
      </c>
      <c r="AS1" s="422"/>
      <c r="AT1" s="95" t="s">
        <v>2</v>
      </c>
      <c r="AU1" s="423">
        <f>AU35</f>
        <v>88113</v>
      </c>
      <c r="AV1" s="424"/>
      <c r="AW1" s="121"/>
    </row>
    <row r="2" spans="1:49" s="58" customFormat="1" ht="11.25" x14ac:dyDescent="0.2">
      <c r="A2" s="64" t="s">
        <v>197</v>
      </c>
      <c r="B2" s="49" t="s">
        <v>243</v>
      </c>
      <c r="C2" s="49" t="s">
        <v>2</v>
      </c>
      <c r="D2" s="49" t="s">
        <v>208</v>
      </c>
      <c r="E2" s="70" t="s">
        <v>198</v>
      </c>
      <c r="F2" s="49" t="s">
        <v>243</v>
      </c>
      <c r="G2" s="49" t="s">
        <v>2</v>
      </c>
      <c r="H2" s="49" t="s">
        <v>208</v>
      </c>
      <c r="I2" s="70" t="s">
        <v>200</v>
      </c>
      <c r="J2" s="49" t="s">
        <v>243</v>
      </c>
      <c r="K2" s="49" t="s">
        <v>2</v>
      </c>
      <c r="L2" s="49" t="s">
        <v>208</v>
      </c>
      <c r="M2" s="70" t="s">
        <v>199</v>
      </c>
      <c r="N2" s="49" t="s">
        <v>243</v>
      </c>
      <c r="O2" s="49" t="s">
        <v>2</v>
      </c>
      <c r="P2" s="49" t="s">
        <v>208</v>
      </c>
      <c r="Q2" s="70" t="s">
        <v>100</v>
      </c>
      <c r="R2" s="49" t="s">
        <v>243</v>
      </c>
      <c r="S2" s="49" t="s">
        <v>2</v>
      </c>
      <c r="T2" s="49" t="s">
        <v>208</v>
      </c>
      <c r="U2" s="70" t="s">
        <v>201</v>
      </c>
      <c r="V2" s="49" t="s">
        <v>243</v>
      </c>
      <c r="W2" s="49" t="s">
        <v>2</v>
      </c>
      <c r="X2" s="49" t="s">
        <v>208</v>
      </c>
      <c r="Y2" s="70" t="s">
        <v>202</v>
      </c>
      <c r="Z2" s="49" t="s">
        <v>243</v>
      </c>
      <c r="AA2" s="49" t="s">
        <v>2</v>
      </c>
      <c r="AB2" s="49" t="s">
        <v>208</v>
      </c>
      <c r="AC2" s="70" t="s">
        <v>203</v>
      </c>
      <c r="AD2" s="49" t="s">
        <v>243</v>
      </c>
      <c r="AE2" s="49" t="s">
        <v>2</v>
      </c>
      <c r="AF2" s="49" t="s">
        <v>208</v>
      </c>
      <c r="AG2" s="70" t="s">
        <v>204</v>
      </c>
      <c r="AH2" s="49" t="s">
        <v>243</v>
      </c>
      <c r="AI2" s="49" t="s">
        <v>2</v>
      </c>
      <c r="AJ2" s="49" t="s">
        <v>208</v>
      </c>
      <c r="AK2" s="70" t="s">
        <v>205</v>
      </c>
      <c r="AL2" s="49" t="s">
        <v>243</v>
      </c>
      <c r="AM2" s="49" t="s">
        <v>2</v>
      </c>
      <c r="AN2" s="49" t="s">
        <v>208</v>
      </c>
      <c r="AO2" s="70" t="s">
        <v>206</v>
      </c>
      <c r="AP2" s="49" t="s">
        <v>243</v>
      </c>
      <c r="AQ2" s="49" t="s">
        <v>2</v>
      </c>
      <c r="AR2" s="49" t="s">
        <v>208</v>
      </c>
      <c r="AS2" s="70" t="s">
        <v>207</v>
      </c>
      <c r="AT2" s="49" t="s">
        <v>243</v>
      </c>
      <c r="AU2" s="49" t="s">
        <v>2</v>
      </c>
      <c r="AV2" s="49" t="s">
        <v>208</v>
      </c>
      <c r="AW2" s="105"/>
    </row>
    <row r="3" spans="1:49" s="54" customFormat="1" ht="11.25" x14ac:dyDescent="0.2">
      <c r="A3" s="86">
        <v>1</v>
      </c>
      <c r="B3" s="59">
        <v>16.52</v>
      </c>
      <c r="C3" s="60">
        <v>87</v>
      </c>
      <c r="D3" s="186"/>
      <c r="E3" s="88">
        <v>1</v>
      </c>
      <c r="F3" s="59">
        <v>14.36</v>
      </c>
      <c r="G3" s="60">
        <v>343</v>
      </c>
      <c r="H3" s="186"/>
      <c r="I3" s="88">
        <v>1</v>
      </c>
      <c r="J3" s="59">
        <v>49.22</v>
      </c>
      <c r="K3" s="60">
        <v>530</v>
      </c>
      <c r="L3" s="186"/>
      <c r="M3" s="88">
        <v>1</v>
      </c>
      <c r="N3" s="59">
        <v>18.3</v>
      </c>
      <c r="O3" s="60">
        <v>404</v>
      </c>
      <c r="P3" s="186"/>
      <c r="Q3" s="88">
        <v>1</v>
      </c>
      <c r="R3" s="59">
        <v>37.159999999999997</v>
      </c>
      <c r="S3" s="60">
        <v>603</v>
      </c>
      <c r="T3" s="186">
        <v>5.2083333333333336E-2</v>
      </c>
      <c r="U3" s="88">
        <v>1</v>
      </c>
      <c r="V3" s="59">
        <v>42.259999999999991</v>
      </c>
      <c r="W3" s="60">
        <v>571</v>
      </c>
      <c r="X3" s="186"/>
      <c r="Y3" s="88">
        <v>1</v>
      </c>
      <c r="Z3" s="59">
        <v>45.1</v>
      </c>
      <c r="AA3" s="60">
        <v>600</v>
      </c>
      <c r="AB3" s="186"/>
      <c r="AC3" s="88">
        <v>1</v>
      </c>
      <c r="AD3" s="59"/>
      <c r="AE3" s="60"/>
      <c r="AF3" s="186"/>
      <c r="AG3" s="88">
        <v>1</v>
      </c>
      <c r="AH3" s="59">
        <v>11.25</v>
      </c>
      <c r="AI3" s="60">
        <v>70</v>
      </c>
      <c r="AJ3" s="186"/>
      <c r="AK3" s="88">
        <v>1</v>
      </c>
      <c r="AL3" s="59"/>
      <c r="AM3" s="60"/>
      <c r="AN3" s="186"/>
      <c r="AO3" s="88">
        <v>1</v>
      </c>
      <c r="AP3" s="59">
        <v>65.599999999999994</v>
      </c>
      <c r="AQ3" s="60">
        <v>1014</v>
      </c>
      <c r="AR3" s="186"/>
      <c r="AS3" s="88">
        <v>1</v>
      </c>
      <c r="AT3" s="59">
        <v>11</v>
      </c>
      <c r="AU3" s="60">
        <v>3</v>
      </c>
      <c r="AV3" s="186"/>
      <c r="AW3" s="73"/>
    </row>
    <row r="4" spans="1:49" s="54" customFormat="1" ht="11.25" x14ac:dyDescent="0.2">
      <c r="A4" s="86">
        <f t="shared" ref="A4:A33" si="0">A3+1</f>
        <v>2</v>
      </c>
      <c r="B4" s="59"/>
      <c r="C4" s="60"/>
      <c r="D4" s="186">
        <v>5.5555555555555552E-2</v>
      </c>
      <c r="E4" s="88">
        <f t="shared" ref="E4:E30" si="1">E3+1</f>
        <v>2</v>
      </c>
      <c r="F4" s="59"/>
      <c r="G4" s="60"/>
      <c r="H4" s="186"/>
      <c r="I4" s="88">
        <f t="shared" ref="I4:I33" si="2">I3+1</f>
        <v>2</v>
      </c>
      <c r="J4" s="59">
        <v>60.67</v>
      </c>
      <c r="K4" s="60">
        <v>289</v>
      </c>
      <c r="L4" s="186"/>
      <c r="M4" s="88">
        <f t="shared" ref="M4:M32" si="3">M3+1</f>
        <v>2</v>
      </c>
      <c r="N4" s="59">
        <v>20.3</v>
      </c>
      <c r="O4" s="60">
        <v>360</v>
      </c>
      <c r="P4" s="186"/>
      <c r="Q4" s="88">
        <f t="shared" ref="Q4:Q33" si="4">Q3+1</f>
        <v>2</v>
      </c>
      <c r="R4" s="59">
        <v>19.3</v>
      </c>
      <c r="S4" s="60">
        <v>213</v>
      </c>
      <c r="T4" s="186"/>
      <c r="U4" s="88">
        <f t="shared" ref="U4:U32" si="5">U3+1</f>
        <v>2</v>
      </c>
      <c r="V4" s="59">
        <v>22.86</v>
      </c>
      <c r="W4" s="60">
        <v>83</v>
      </c>
      <c r="X4" s="186"/>
      <c r="Y4" s="88">
        <f t="shared" ref="Y4:Y33" si="6">Y3+1</f>
        <v>2</v>
      </c>
      <c r="Z4" s="59">
        <v>14.36</v>
      </c>
      <c r="AA4" s="60">
        <v>343</v>
      </c>
      <c r="AB4" s="186"/>
      <c r="AC4" s="88">
        <f t="shared" ref="AC4:AC33" si="7">AC3+1</f>
        <v>2</v>
      </c>
      <c r="AD4" s="59">
        <v>15.06</v>
      </c>
      <c r="AE4" s="60">
        <v>556</v>
      </c>
      <c r="AF4" s="186"/>
      <c r="AG4" s="88">
        <f>AG3+1</f>
        <v>2</v>
      </c>
      <c r="AH4" s="59">
        <v>19.600000000000001</v>
      </c>
      <c r="AI4" s="60">
        <v>440</v>
      </c>
      <c r="AJ4" s="186"/>
      <c r="AK4" s="88">
        <f>AK3+1</f>
        <v>2</v>
      </c>
      <c r="AL4" s="59"/>
      <c r="AM4" s="60"/>
      <c r="AN4" s="186"/>
      <c r="AO4" s="88">
        <f>AO3+1</f>
        <v>2</v>
      </c>
      <c r="AP4" s="59">
        <v>61.1</v>
      </c>
      <c r="AQ4" s="60">
        <v>540</v>
      </c>
      <c r="AR4" s="186"/>
      <c r="AS4" s="88">
        <f>AS3+1</f>
        <v>2</v>
      </c>
      <c r="AT4" s="59"/>
      <c r="AU4" s="60"/>
      <c r="AV4" s="186"/>
      <c r="AW4" s="73"/>
    </row>
    <row r="5" spans="1:49" s="54" customFormat="1" ht="11.25" x14ac:dyDescent="0.2">
      <c r="A5" s="86">
        <f t="shared" si="0"/>
        <v>3</v>
      </c>
      <c r="B5" s="59">
        <v>15.9</v>
      </c>
      <c r="C5" s="60">
        <v>88</v>
      </c>
      <c r="D5" s="186"/>
      <c r="E5" s="88">
        <f t="shared" si="1"/>
        <v>3</v>
      </c>
      <c r="F5" s="59">
        <v>10.129999999999999</v>
      </c>
      <c r="G5" s="60">
        <v>49</v>
      </c>
      <c r="H5" s="186"/>
      <c r="I5" s="88">
        <f t="shared" si="2"/>
        <v>3</v>
      </c>
      <c r="J5" s="59">
        <v>24.66</v>
      </c>
      <c r="K5" s="60">
        <v>25</v>
      </c>
      <c r="L5" s="186"/>
      <c r="M5" s="88">
        <f t="shared" si="3"/>
        <v>3</v>
      </c>
      <c r="N5" s="59">
        <v>24.66</v>
      </c>
      <c r="O5" s="60">
        <v>25</v>
      </c>
      <c r="P5" s="186"/>
      <c r="Q5" s="88">
        <f t="shared" si="4"/>
        <v>3</v>
      </c>
      <c r="R5" s="59">
        <v>65.88</v>
      </c>
      <c r="S5" s="60">
        <v>151</v>
      </c>
      <c r="T5" s="186"/>
      <c r="U5" s="88">
        <f t="shared" si="5"/>
        <v>3</v>
      </c>
      <c r="V5" s="59">
        <v>15.17</v>
      </c>
      <c r="W5" s="60">
        <v>140</v>
      </c>
      <c r="X5" s="186"/>
      <c r="Y5" s="88">
        <f t="shared" si="6"/>
        <v>3</v>
      </c>
      <c r="Z5" s="59">
        <v>14.36</v>
      </c>
      <c r="AA5" s="60">
        <v>343</v>
      </c>
      <c r="AB5" s="186"/>
      <c r="AC5" s="88">
        <f t="shared" si="7"/>
        <v>3</v>
      </c>
      <c r="AD5" s="59">
        <v>19.5</v>
      </c>
      <c r="AE5" s="60">
        <v>450</v>
      </c>
      <c r="AF5" s="186"/>
      <c r="AG5" s="88">
        <f t="shared" ref="AG5:AG32" si="8">AG4+1</f>
        <v>3</v>
      </c>
      <c r="AH5" s="59">
        <v>22.83</v>
      </c>
      <c r="AI5" s="60">
        <v>172</v>
      </c>
      <c r="AJ5" s="186"/>
      <c r="AK5" s="88">
        <f t="shared" ref="AK5:AK33" si="9">AK4+1</f>
        <v>3</v>
      </c>
      <c r="AL5" s="59"/>
      <c r="AM5" s="60"/>
      <c r="AN5" s="186"/>
      <c r="AO5" s="88">
        <f t="shared" ref="AO5:AO32" si="10">AO4+1</f>
        <v>3</v>
      </c>
      <c r="AP5" s="59">
        <v>18.399999999999999</v>
      </c>
      <c r="AQ5" s="60">
        <v>130</v>
      </c>
      <c r="AR5" s="186"/>
      <c r="AS5" s="88">
        <f t="shared" ref="AS5:AS33" si="11">AS4+1</f>
        <v>3</v>
      </c>
      <c r="AT5" s="59">
        <v>13.16</v>
      </c>
      <c r="AU5" s="60">
        <v>30</v>
      </c>
      <c r="AV5" s="186"/>
      <c r="AW5" s="73"/>
    </row>
    <row r="6" spans="1:49" s="54" customFormat="1" ht="11.25" x14ac:dyDescent="0.2">
      <c r="A6" s="86">
        <f t="shared" si="0"/>
        <v>4</v>
      </c>
      <c r="B6" s="59">
        <v>14.36</v>
      </c>
      <c r="C6" s="60">
        <v>343</v>
      </c>
      <c r="D6" s="186"/>
      <c r="E6" s="88">
        <f t="shared" si="1"/>
        <v>4</v>
      </c>
      <c r="F6" s="59">
        <v>21.73</v>
      </c>
      <c r="G6" s="60">
        <v>357</v>
      </c>
      <c r="H6" s="186"/>
      <c r="I6" s="88">
        <f t="shared" si="2"/>
        <v>4</v>
      </c>
      <c r="J6" s="59">
        <v>9.18</v>
      </c>
      <c r="K6" s="60">
        <v>45</v>
      </c>
      <c r="L6" s="186"/>
      <c r="M6" s="88">
        <f t="shared" si="3"/>
        <v>4</v>
      </c>
      <c r="N6" s="59">
        <v>17.2</v>
      </c>
      <c r="O6" s="60">
        <v>364</v>
      </c>
      <c r="P6" s="186"/>
      <c r="Q6" s="88">
        <f t="shared" si="4"/>
        <v>4</v>
      </c>
      <c r="R6" s="59">
        <v>28.3</v>
      </c>
      <c r="S6" s="60">
        <v>220</v>
      </c>
      <c r="T6" s="186"/>
      <c r="U6" s="88">
        <f t="shared" si="5"/>
        <v>4</v>
      </c>
      <c r="V6" s="59">
        <v>14.2</v>
      </c>
      <c r="W6" s="60">
        <v>300</v>
      </c>
      <c r="X6" s="186"/>
      <c r="Y6" s="88">
        <f t="shared" si="6"/>
        <v>4</v>
      </c>
      <c r="Z6" s="59">
        <v>17.8</v>
      </c>
      <c r="AA6" s="60">
        <v>360</v>
      </c>
      <c r="AB6" s="186"/>
      <c r="AC6" s="88">
        <f t="shared" si="7"/>
        <v>4</v>
      </c>
      <c r="AD6" s="59">
        <v>26.75</v>
      </c>
      <c r="AE6" s="60">
        <v>696</v>
      </c>
      <c r="AF6" s="186"/>
      <c r="AG6" s="88">
        <f t="shared" si="8"/>
        <v>4</v>
      </c>
      <c r="AH6" s="59">
        <v>14.8</v>
      </c>
      <c r="AI6" s="60">
        <v>330</v>
      </c>
      <c r="AJ6" s="186"/>
      <c r="AK6" s="88">
        <f t="shared" si="9"/>
        <v>4</v>
      </c>
      <c r="AL6" s="59"/>
      <c r="AM6" s="60"/>
      <c r="AN6" s="186"/>
      <c r="AO6" s="88">
        <f t="shared" si="10"/>
        <v>4</v>
      </c>
      <c r="AP6" s="59">
        <v>16</v>
      </c>
      <c r="AQ6" s="60">
        <v>65</v>
      </c>
      <c r="AR6" s="186"/>
      <c r="AS6" s="88">
        <f t="shared" si="11"/>
        <v>4</v>
      </c>
      <c r="AT6" s="59">
        <v>15.1</v>
      </c>
      <c r="AU6" s="60">
        <v>50</v>
      </c>
      <c r="AV6" s="186"/>
      <c r="AW6" s="73"/>
    </row>
    <row r="7" spans="1:49" s="54" customFormat="1" ht="11.25" x14ac:dyDescent="0.2">
      <c r="A7" s="86">
        <f t="shared" si="0"/>
        <v>5</v>
      </c>
      <c r="B7" s="59">
        <v>30.01</v>
      </c>
      <c r="C7" s="60">
        <v>395</v>
      </c>
      <c r="D7" s="186"/>
      <c r="E7" s="88">
        <f t="shared" si="1"/>
        <v>5</v>
      </c>
      <c r="F7" s="59">
        <v>11.3</v>
      </c>
      <c r="G7" s="60">
        <v>30</v>
      </c>
      <c r="H7" s="186"/>
      <c r="I7" s="88">
        <f t="shared" si="2"/>
        <v>5</v>
      </c>
      <c r="J7" s="59">
        <v>17.399999999999999</v>
      </c>
      <c r="K7" s="60">
        <v>57</v>
      </c>
      <c r="L7" s="186"/>
      <c r="M7" s="88">
        <f t="shared" si="3"/>
        <v>5</v>
      </c>
      <c r="N7" s="59">
        <v>39.5</v>
      </c>
      <c r="O7" s="60">
        <v>425</v>
      </c>
      <c r="P7" s="186"/>
      <c r="Q7" s="88">
        <f t="shared" si="4"/>
        <v>5</v>
      </c>
      <c r="R7" s="59">
        <v>21</v>
      </c>
      <c r="S7" s="60">
        <v>65</v>
      </c>
      <c r="T7" s="186"/>
      <c r="U7" s="88">
        <f t="shared" si="5"/>
        <v>5</v>
      </c>
      <c r="V7" s="59">
        <v>14.219999999999999</v>
      </c>
      <c r="W7" s="60">
        <v>90</v>
      </c>
      <c r="X7" s="186"/>
      <c r="Y7" s="88">
        <f t="shared" si="6"/>
        <v>5</v>
      </c>
      <c r="Z7" s="59">
        <v>25.419999999999995</v>
      </c>
      <c r="AA7" s="60">
        <v>421</v>
      </c>
      <c r="AB7" s="186"/>
      <c r="AC7" s="88">
        <f t="shared" si="7"/>
        <v>5</v>
      </c>
      <c r="AD7" s="59">
        <v>15.2</v>
      </c>
      <c r="AE7" s="60">
        <v>215</v>
      </c>
      <c r="AF7" s="186"/>
      <c r="AG7" s="88">
        <f t="shared" si="8"/>
        <v>5</v>
      </c>
      <c r="AH7" s="59">
        <v>19.600000000000001</v>
      </c>
      <c r="AI7" s="60">
        <v>440</v>
      </c>
      <c r="AJ7" s="186"/>
      <c r="AK7" s="88">
        <f t="shared" si="9"/>
        <v>5</v>
      </c>
      <c r="AL7" s="59"/>
      <c r="AM7" s="60"/>
      <c r="AN7" s="186"/>
      <c r="AO7" s="88">
        <f t="shared" si="10"/>
        <v>5</v>
      </c>
      <c r="AP7" s="59"/>
      <c r="AQ7" s="60"/>
      <c r="AR7" s="186"/>
      <c r="AS7" s="88">
        <f t="shared" si="11"/>
        <v>5</v>
      </c>
      <c r="AT7" s="59">
        <v>10.8</v>
      </c>
      <c r="AU7" s="60">
        <v>308</v>
      </c>
      <c r="AV7" s="186"/>
      <c r="AW7" s="73"/>
    </row>
    <row r="8" spans="1:49" s="54" customFormat="1" ht="11.25" x14ac:dyDescent="0.2">
      <c r="A8" s="86">
        <f t="shared" si="0"/>
        <v>6</v>
      </c>
      <c r="B8" s="59">
        <v>23.3</v>
      </c>
      <c r="C8" s="60">
        <v>320</v>
      </c>
      <c r="D8" s="186"/>
      <c r="E8" s="88">
        <f t="shared" si="1"/>
        <v>6</v>
      </c>
      <c r="F8" s="59">
        <v>11.290000000000001</v>
      </c>
      <c r="G8" s="60">
        <v>95</v>
      </c>
      <c r="H8" s="186"/>
      <c r="I8" s="88">
        <f t="shared" si="2"/>
        <v>6</v>
      </c>
      <c r="J8" s="59">
        <v>11.93</v>
      </c>
      <c r="K8" s="60">
        <v>78</v>
      </c>
      <c r="L8" s="186"/>
      <c r="M8" s="88">
        <f t="shared" si="3"/>
        <v>6</v>
      </c>
      <c r="N8" s="59">
        <v>47.68</v>
      </c>
      <c r="O8" s="60">
        <v>671</v>
      </c>
      <c r="P8" s="186"/>
      <c r="Q8" s="88">
        <f t="shared" si="4"/>
        <v>6</v>
      </c>
      <c r="R8" s="59">
        <v>7.8</v>
      </c>
      <c r="S8" s="60">
        <v>175</v>
      </c>
      <c r="T8" s="186"/>
      <c r="U8" s="88">
        <f t="shared" si="5"/>
        <v>6</v>
      </c>
      <c r="V8" s="59">
        <v>15.06</v>
      </c>
      <c r="W8" s="60">
        <v>556</v>
      </c>
      <c r="X8" s="186"/>
      <c r="Y8" s="88">
        <f t="shared" si="6"/>
        <v>6</v>
      </c>
      <c r="Z8" s="59">
        <v>66.44</v>
      </c>
      <c r="AA8" s="60">
        <v>1016</v>
      </c>
      <c r="AB8" s="186"/>
      <c r="AC8" s="88">
        <f t="shared" si="7"/>
        <v>6</v>
      </c>
      <c r="AD8" s="59">
        <v>16.98</v>
      </c>
      <c r="AE8" s="60">
        <v>70</v>
      </c>
      <c r="AF8" s="186"/>
      <c r="AG8" s="88">
        <f t="shared" si="8"/>
        <v>6</v>
      </c>
      <c r="AH8" s="59">
        <v>58.44</v>
      </c>
      <c r="AI8" s="60">
        <v>652</v>
      </c>
      <c r="AJ8" s="186"/>
      <c r="AK8" s="88">
        <f t="shared" si="9"/>
        <v>6</v>
      </c>
      <c r="AL8" s="59">
        <v>50.4</v>
      </c>
      <c r="AM8" s="60">
        <v>605</v>
      </c>
      <c r="AN8" s="186"/>
      <c r="AO8" s="88">
        <f t="shared" si="10"/>
        <v>6</v>
      </c>
      <c r="AP8" s="59">
        <v>20.6</v>
      </c>
      <c r="AQ8" s="60">
        <v>90</v>
      </c>
      <c r="AR8" s="186"/>
      <c r="AS8" s="88">
        <f t="shared" si="11"/>
        <v>6</v>
      </c>
      <c r="AT8" s="59">
        <v>30.11</v>
      </c>
      <c r="AU8" s="60">
        <v>343</v>
      </c>
      <c r="AV8" s="186"/>
      <c r="AW8" s="73"/>
    </row>
    <row r="9" spans="1:49" s="54" customFormat="1" ht="11.25" x14ac:dyDescent="0.2">
      <c r="A9" s="86">
        <f t="shared" si="0"/>
        <v>7</v>
      </c>
      <c r="B9" s="59">
        <v>7.14</v>
      </c>
      <c r="C9" s="60">
        <v>30</v>
      </c>
      <c r="D9" s="186"/>
      <c r="E9" s="88">
        <f t="shared" si="1"/>
        <v>7</v>
      </c>
      <c r="F9" s="59">
        <v>12.2</v>
      </c>
      <c r="G9" s="60">
        <v>50</v>
      </c>
      <c r="H9" s="186"/>
      <c r="I9" s="88">
        <f t="shared" si="2"/>
        <v>7</v>
      </c>
      <c r="J9" s="59">
        <v>15.32</v>
      </c>
      <c r="K9" s="60">
        <v>175</v>
      </c>
      <c r="L9" s="186"/>
      <c r="M9" s="88">
        <f t="shared" si="3"/>
        <v>7</v>
      </c>
      <c r="N9" s="59">
        <v>18.3</v>
      </c>
      <c r="O9" s="60">
        <v>404</v>
      </c>
      <c r="P9" s="186"/>
      <c r="Q9" s="88">
        <f t="shared" si="4"/>
        <v>7</v>
      </c>
      <c r="R9" s="59">
        <v>14.4</v>
      </c>
      <c r="S9" s="60">
        <v>50</v>
      </c>
      <c r="T9" s="186"/>
      <c r="U9" s="88">
        <f t="shared" si="5"/>
        <v>7</v>
      </c>
      <c r="V9" s="59">
        <v>20.53</v>
      </c>
      <c r="W9" s="60">
        <v>360</v>
      </c>
      <c r="X9" s="186"/>
      <c r="Y9" s="88">
        <f t="shared" si="6"/>
        <v>7</v>
      </c>
      <c r="Z9" s="59">
        <v>11.4</v>
      </c>
      <c r="AA9" s="60">
        <v>40</v>
      </c>
      <c r="AB9" s="186"/>
      <c r="AC9" s="88">
        <f t="shared" si="7"/>
        <v>7</v>
      </c>
      <c r="AD9" s="59">
        <v>16</v>
      </c>
      <c r="AE9" s="60">
        <v>210</v>
      </c>
      <c r="AF9" s="186"/>
      <c r="AG9" s="88">
        <f t="shared" si="8"/>
        <v>7</v>
      </c>
      <c r="AH9" s="59">
        <v>19.7</v>
      </c>
      <c r="AI9" s="60">
        <v>470</v>
      </c>
      <c r="AJ9" s="186"/>
      <c r="AK9" s="88">
        <f t="shared" si="9"/>
        <v>7</v>
      </c>
      <c r="AL9" s="59">
        <v>12.8</v>
      </c>
      <c r="AM9" s="60">
        <v>20</v>
      </c>
      <c r="AN9" s="186"/>
      <c r="AO9" s="88">
        <f t="shared" si="10"/>
        <v>7</v>
      </c>
      <c r="AP9" s="59">
        <v>18</v>
      </c>
      <c r="AQ9" s="60">
        <v>60</v>
      </c>
      <c r="AR9" s="186"/>
      <c r="AS9" s="88">
        <f t="shared" si="11"/>
        <v>7</v>
      </c>
      <c r="AT9" s="59">
        <v>34.700000000000003</v>
      </c>
      <c r="AU9" s="60">
        <v>402</v>
      </c>
      <c r="AV9" s="186"/>
      <c r="AW9" s="73"/>
    </row>
    <row r="10" spans="1:49" s="54" customFormat="1" ht="11.25" x14ac:dyDescent="0.2">
      <c r="A10" s="86">
        <f t="shared" si="0"/>
        <v>8</v>
      </c>
      <c r="B10" s="59">
        <v>28.4</v>
      </c>
      <c r="C10" s="60">
        <v>40</v>
      </c>
      <c r="D10" s="186"/>
      <c r="E10" s="88">
        <f t="shared" si="1"/>
        <v>8</v>
      </c>
      <c r="F10" s="59">
        <v>27.35</v>
      </c>
      <c r="G10" s="60">
        <v>390</v>
      </c>
      <c r="H10" s="186"/>
      <c r="I10" s="88">
        <f t="shared" si="2"/>
        <v>8</v>
      </c>
      <c r="J10" s="59">
        <v>61.4</v>
      </c>
      <c r="K10" s="60">
        <v>1457</v>
      </c>
      <c r="L10" s="186"/>
      <c r="M10" s="88">
        <f t="shared" si="3"/>
        <v>8</v>
      </c>
      <c r="N10" s="59">
        <v>13.1</v>
      </c>
      <c r="O10" s="60">
        <v>40</v>
      </c>
      <c r="P10" s="186"/>
      <c r="Q10" s="88">
        <f t="shared" si="4"/>
        <v>8</v>
      </c>
      <c r="R10" s="59">
        <v>11.4</v>
      </c>
      <c r="S10" s="60">
        <v>60</v>
      </c>
      <c r="T10" s="186"/>
      <c r="U10" s="88">
        <f t="shared" si="5"/>
        <v>8</v>
      </c>
      <c r="V10" s="59">
        <v>154.47999999999999</v>
      </c>
      <c r="W10" s="60">
        <v>1552</v>
      </c>
      <c r="X10" s="186"/>
      <c r="Y10" s="88">
        <f t="shared" si="6"/>
        <v>8</v>
      </c>
      <c r="Z10" s="59">
        <v>17.399999999999999</v>
      </c>
      <c r="AA10" s="60">
        <v>70</v>
      </c>
      <c r="AB10" s="186"/>
      <c r="AC10" s="88">
        <f t="shared" si="7"/>
        <v>8</v>
      </c>
      <c r="AD10" s="59">
        <v>23.2</v>
      </c>
      <c r="AE10" s="60">
        <v>640</v>
      </c>
      <c r="AF10" s="186"/>
      <c r="AG10" s="88">
        <f t="shared" si="8"/>
        <v>8</v>
      </c>
      <c r="AH10" s="59">
        <v>25.2</v>
      </c>
      <c r="AI10" s="54">
        <v>115</v>
      </c>
      <c r="AJ10" s="186"/>
      <c r="AK10" s="88">
        <f t="shared" si="9"/>
        <v>8</v>
      </c>
      <c r="AL10" s="59">
        <v>15</v>
      </c>
      <c r="AM10" s="60">
        <v>75</v>
      </c>
      <c r="AN10" s="186"/>
      <c r="AO10" s="88">
        <f t="shared" si="10"/>
        <v>8</v>
      </c>
      <c r="AP10" s="59">
        <v>44.599999999999994</v>
      </c>
      <c r="AQ10" s="60">
        <v>750</v>
      </c>
      <c r="AR10" s="186"/>
      <c r="AS10" s="88">
        <f t="shared" si="11"/>
        <v>8</v>
      </c>
      <c r="AT10" s="59">
        <v>11.6</v>
      </c>
      <c r="AU10" s="60">
        <v>40</v>
      </c>
      <c r="AV10" s="186"/>
      <c r="AW10" s="73"/>
    </row>
    <row r="11" spans="1:49" s="54" customFormat="1" ht="11.25" x14ac:dyDescent="0.2">
      <c r="A11" s="86">
        <f t="shared" si="0"/>
        <v>9</v>
      </c>
      <c r="B11" s="59">
        <v>14.190000000000001</v>
      </c>
      <c r="C11" s="60">
        <v>55</v>
      </c>
      <c r="D11" s="186"/>
      <c r="E11" s="88">
        <f t="shared" si="1"/>
        <v>9</v>
      </c>
      <c r="F11" s="59">
        <v>32.089999999999996</v>
      </c>
      <c r="G11" s="60">
        <v>494</v>
      </c>
      <c r="H11" s="186"/>
      <c r="I11" s="88">
        <f t="shared" si="2"/>
        <v>9</v>
      </c>
      <c r="J11" s="59">
        <v>72.22</v>
      </c>
      <c r="K11" s="60">
        <v>671</v>
      </c>
      <c r="L11" s="186"/>
      <c r="M11" s="88">
        <f t="shared" si="3"/>
        <v>9</v>
      </c>
      <c r="N11" s="59">
        <v>16.3</v>
      </c>
      <c r="O11" s="60">
        <v>150</v>
      </c>
      <c r="P11" s="186"/>
      <c r="Q11" s="88">
        <f t="shared" si="4"/>
        <v>9</v>
      </c>
      <c r="R11" s="59">
        <v>16.899999999999999</v>
      </c>
      <c r="S11" s="60">
        <v>80</v>
      </c>
      <c r="T11" s="186"/>
      <c r="U11" s="88">
        <f t="shared" si="5"/>
        <v>9</v>
      </c>
      <c r="V11" s="59">
        <v>19.5</v>
      </c>
      <c r="W11" s="60">
        <v>450</v>
      </c>
      <c r="X11" s="186"/>
      <c r="Y11" s="88">
        <f t="shared" si="6"/>
        <v>9</v>
      </c>
      <c r="Z11" s="59">
        <v>14.36</v>
      </c>
      <c r="AA11" s="60">
        <v>343</v>
      </c>
      <c r="AB11" s="186"/>
      <c r="AC11" s="88">
        <f t="shared" si="7"/>
        <v>9</v>
      </c>
      <c r="AD11" s="59">
        <v>38.18</v>
      </c>
      <c r="AE11" s="60">
        <v>627</v>
      </c>
      <c r="AF11" s="186"/>
      <c r="AG11" s="88">
        <f t="shared" si="8"/>
        <v>9</v>
      </c>
      <c r="AH11" s="59">
        <v>8.99</v>
      </c>
      <c r="AI11" s="60">
        <v>55</v>
      </c>
      <c r="AJ11" s="186"/>
      <c r="AK11" s="88">
        <f t="shared" si="9"/>
        <v>9</v>
      </c>
      <c r="AL11" s="59">
        <v>20.07</v>
      </c>
      <c r="AM11" s="60">
        <v>30</v>
      </c>
      <c r="AN11" s="186"/>
      <c r="AO11" s="88">
        <f t="shared" si="10"/>
        <v>9</v>
      </c>
      <c r="AP11" s="59">
        <v>64.900000000000006</v>
      </c>
      <c r="AQ11" s="60">
        <v>755</v>
      </c>
      <c r="AR11" s="186"/>
      <c r="AS11" s="88">
        <f t="shared" si="11"/>
        <v>9</v>
      </c>
      <c r="AT11" s="59">
        <v>12.5</v>
      </c>
      <c r="AU11" s="60">
        <v>10</v>
      </c>
      <c r="AV11" s="186"/>
      <c r="AW11" s="73"/>
    </row>
    <row r="12" spans="1:49" s="54" customFormat="1" ht="11.25" x14ac:dyDescent="0.2">
      <c r="A12" s="86">
        <f t="shared" si="0"/>
        <v>10</v>
      </c>
      <c r="B12" s="59">
        <v>13.2</v>
      </c>
      <c r="C12" s="60">
        <v>45</v>
      </c>
      <c r="D12" s="186"/>
      <c r="E12" s="88">
        <f t="shared" si="1"/>
        <v>10</v>
      </c>
      <c r="F12" s="59">
        <v>7.65</v>
      </c>
      <c r="G12" s="60">
        <v>210</v>
      </c>
      <c r="H12" s="186"/>
      <c r="I12" s="88">
        <f t="shared" si="2"/>
        <v>10</v>
      </c>
      <c r="J12" s="59">
        <v>13.72</v>
      </c>
      <c r="K12" s="60">
        <v>65</v>
      </c>
      <c r="L12" s="186"/>
      <c r="M12" s="88">
        <f t="shared" si="3"/>
        <v>10</v>
      </c>
      <c r="N12" s="59">
        <v>10.860000000000001</v>
      </c>
      <c r="O12" s="60">
        <v>53</v>
      </c>
      <c r="P12" s="186"/>
      <c r="Q12" s="88">
        <f t="shared" si="4"/>
        <v>10</v>
      </c>
      <c r="R12" s="59">
        <v>35.509999999999991</v>
      </c>
      <c r="S12" s="60">
        <v>588</v>
      </c>
      <c r="T12" s="186"/>
      <c r="U12" s="88">
        <f t="shared" si="5"/>
        <v>10</v>
      </c>
      <c r="V12" s="59">
        <v>36.94</v>
      </c>
      <c r="W12" s="60">
        <v>445</v>
      </c>
      <c r="X12" s="186"/>
      <c r="Y12" s="88">
        <f t="shared" si="6"/>
        <v>10</v>
      </c>
      <c r="Z12" s="59">
        <v>7.28</v>
      </c>
      <c r="AA12" s="60">
        <v>43</v>
      </c>
      <c r="AB12" s="186"/>
      <c r="AC12" s="88">
        <f t="shared" si="7"/>
        <v>10</v>
      </c>
      <c r="AD12" s="59">
        <v>98.16</v>
      </c>
      <c r="AE12" s="60">
        <v>1445</v>
      </c>
      <c r="AF12" s="186"/>
      <c r="AG12" s="88">
        <f t="shared" si="8"/>
        <v>10</v>
      </c>
      <c r="AH12" s="59">
        <v>13.5</v>
      </c>
      <c r="AI12" s="54">
        <v>10</v>
      </c>
      <c r="AJ12" s="186"/>
      <c r="AK12" s="88">
        <f t="shared" si="9"/>
        <v>10</v>
      </c>
      <c r="AL12" s="59">
        <v>22.189999999999998</v>
      </c>
      <c r="AM12" s="60">
        <v>523</v>
      </c>
      <c r="AN12" s="186"/>
      <c r="AO12" s="88">
        <f t="shared" si="10"/>
        <v>10</v>
      </c>
      <c r="AP12" s="59">
        <v>9.5</v>
      </c>
      <c r="AQ12" s="60">
        <v>30</v>
      </c>
      <c r="AR12" s="186"/>
      <c r="AS12" s="88">
        <f t="shared" si="11"/>
        <v>10</v>
      </c>
      <c r="AT12" s="59">
        <v>16.3</v>
      </c>
      <c r="AU12" s="60">
        <v>350</v>
      </c>
      <c r="AV12" s="186"/>
      <c r="AW12" s="73"/>
    </row>
    <row r="13" spans="1:49" s="54" customFormat="1" ht="11.25" x14ac:dyDescent="0.2">
      <c r="A13" s="86">
        <f t="shared" si="0"/>
        <v>11</v>
      </c>
      <c r="B13" s="59">
        <v>31.2</v>
      </c>
      <c r="C13" s="60">
        <v>444</v>
      </c>
      <c r="D13" s="186"/>
      <c r="E13" s="88">
        <f t="shared" si="1"/>
        <v>11</v>
      </c>
      <c r="F13" s="59">
        <v>22.9</v>
      </c>
      <c r="G13" s="60">
        <v>153</v>
      </c>
      <c r="H13" s="186"/>
      <c r="I13" s="88">
        <f t="shared" si="2"/>
        <v>11</v>
      </c>
      <c r="J13" s="59">
        <v>18</v>
      </c>
      <c r="K13" s="60">
        <v>110</v>
      </c>
      <c r="L13" s="186"/>
      <c r="M13" s="88">
        <f t="shared" si="3"/>
        <v>11</v>
      </c>
      <c r="N13" s="59">
        <v>19.7</v>
      </c>
      <c r="O13" s="60">
        <v>220</v>
      </c>
      <c r="P13" s="186"/>
      <c r="Q13" s="88">
        <f t="shared" si="4"/>
        <v>11</v>
      </c>
      <c r="R13" s="59">
        <v>23</v>
      </c>
      <c r="S13" s="60">
        <v>385</v>
      </c>
      <c r="T13" s="186"/>
      <c r="U13" s="88">
        <f t="shared" si="5"/>
        <v>11</v>
      </c>
      <c r="V13" s="59">
        <v>38.42</v>
      </c>
      <c r="W13" s="60">
        <v>220</v>
      </c>
      <c r="X13" s="186"/>
      <c r="Y13" s="88">
        <f t="shared" si="6"/>
        <v>11</v>
      </c>
      <c r="Z13" s="59">
        <v>15.82</v>
      </c>
      <c r="AA13" s="60">
        <v>225</v>
      </c>
      <c r="AB13" s="186"/>
      <c r="AC13" s="88">
        <f t="shared" si="7"/>
        <v>11</v>
      </c>
      <c r="AD13" s="59">
        <v>9.66</v>
      </c>
      <c r="AE13" s="60">
        <v>60</v>
      </c>
      <c r="AF13" s="186"/>
      <c r="AG13" s="88">
        <f t="shared" si="8"/>
        <v>11</v>
      </c>
      <c r="AH13" s="59">
        <v>9.1</v>
      </c>
      <c r="AI13" s="60">
        <v>250</v>
      </c>
      <c r="AJ13" s="186"/>
      <c r="AK13" s="88">
        <f t="shared" si="9"/>
        <v>11</v>
      </c>
      <c r="AL13" s="59">
        <v>25</v>
      </c>
      <c r="AM13" s="60">
        <v>300</v>
      </c>
      <c r="AN13" s="186"/>
      <c r="AO13" s="88">
        <f t="shared" si="10"/>
        <v>11</v>
      </c>
      <c r="AP13" s="59">
        <v>14.57</v>
      </c>
      <c r="AQ13" s="60">
        <v>21</v>
      </c>
      <c r="AR13" s="186"/>
      <c r="AS13" s="88">
        <f t="shared" si="11"/>
        <v>11</v>
      </c>
      <c r="AT13" s="59"/>
      <c r="AU13" s="60"/>
      <c r="AV13" s="186"/>
      <c r="AW13" s="73"/>
    </row>
    <row r="14" spans="1:49" s="54" customFormat="1" ht="11.25" x14ac:dyDescent="0.2">
      <c r="A14" s="86">
        <f t="shared" si="0"/>
        <v>12</v>
      </c>
      <c r="B14" s="59">
        <v>35.299999999999997</v>
      </c>
      <c r="C14" s="60">
        <v>225</v>
      </c>
      <c r="D14" s="186"/>
      <c r="E14" s="88">
        <f t="shared" si="1"/>
        <v>12</v>
      </c>
      <c r="F14" s="59">
        <v>14</v>
      </c>
      <c r="G14" s="60">
        <v>10</v>
      </c>
      <c r="H14" s="186"/>
      <c r="I14" s="88">
        <f t="shared" si="2"/>
        <v>12</v>
      </c>
      <c r="J14" s="59">
        <v>18.600000000000001</v>
      </c>
      <c r="K14" s="60">
        <v>110</v>
      </c>
      <c r="L14" s="186"/>
      <c r="M14" s="88">
        <f t="shared" si="3"/>
        <v>12</v>
      </c>
      <c r="N14" s="59">
        <v>41.87</v>
      </c>
      <c r="O14" s="60">
        <v>750</v>
      </c>
      <c r="P14" s="186"/>
      <c r="Q14" s="88">
        <f t="shared" si="4"/>
        <v>12</v>
      </c>
      <c r="R14" s="59">
        <v>19</v>
      </c>
      <c r="S14" s="60">
        <v>90</v>
      </c>
      <c r="T14" s="186"/>
      <c r="U14" s="88">
        <f t="shared" si="5"/>
        <v>12</v>
      </c>
      <c r="V14" s="59">
        <v>49.719999999999992</v>
      </c>
      <c r="W14" s="60">
        <v>416</v>
      </c>
      <c r="X14" s="186"/>
      <c r="Y14" s="88">
        <f t="shared" si="6"/>
        <v>12</v>
      </c>
      <c r="Z14" s="59">
        <v>38.459999999999987</v>
      </c>
      <c r="AA14" s="60">
        <v>638</v>
      </c>
      <c r="AB14" s="186">
        <v>4.6527777777777779E-2</v>
      </c>
      <c r="AC14" s="88">
        <f t="shared" si="7"/>
        <v>12</v>
      </c>
      <c r="AD14" s="59">
        <v>10.66</v>
      </c>
      <c r="AE14" s="91">
        <v>90</v>
      </c>
      <c r="AF14" s="186"/>
      <c r="AG14" s="88">
        <f t="shared" si="8"/>
        <v>12</v>
      </c>
      <c r="AH14" s="59">
        <v>12.4</v>
      </c>
      <c r="AI14" s="60">
        <v>45</v>
      </c>
      <c r="AJ14" s="186"/>
      <c r="AK14" s="88">
        <f t="shared" si="9"/>
        <v>12</v>
      </c>
      <c r="AL14" s="59">
        <v>26.58</v>
      </c>
      <c r="AM14" s="60">
        <v>477</v>
      </c>
      <c r="AN14" s="186">
        <v>4.4444444444444446E-2</v>
      </c>
      <c r="AO14" s="88">
        <f t="shared" si="10"/>
        <v>12</v>
      </c>
      <c r="AP14" s="59">
        <v>25.6</v>
      </c>
      <c r="AQ14" s="60">
        <v>25</v>
      </c>
      <c r="AR14" s="186"/>
      <c r="AS14" s="88">
        <f t="shared" si="11"/>
        <v>12</v>
      </c>
      <c r="AT14" s="59"/>
      <c r="AU14" s="60"/>
      <c r="AV14" s="186"/>
      <c r="AW14" s="73"/>
    </row>
    <row r="15" spans="1:49" s="54" customFormat="1" ht="11.25" x14ac:dyDescent="0.2">
      <c r="A15" s="86">
        <f t="shared" si="0"/>
        <v>13</v>
      </c>
      <c r="B15" s="59">
        <v>12.3</v>
      </c>
      <c r="C15" s="60">
        <v>65</v>
      </c>
      <c r="D15" s="186"/>
      <c r="E15" s="88">
        <f t="shared" si="1"/>
        <v>13</v>
      </c>
      <c r="F15" s="59">
        <v>13.9</v>
      </c>
      <c r="G15" s="60">
        <v>25</v>
      </c>
      <c r="H15" s="186"/>
      <c r="I15" s="88">
        <f t="shared" si="2"/>
        <v>13</v>
      </c>
      <c r="J15" s="59">
        <v>17.5</v>
      </c>
      <c r="K15" s="60">
        <v>110</v>
      </c>
      <c r="L15" s="186"/>
      <c r="M15" s="88">
        <f t="shared" si="3"/>
        <v>13</v>
      </c>
      <c r="N15" s="59">
        <v>20.420000000000002</v>
      </c>
      <c r="O15" s="60">
        <v>368</v>
      </c>
      <c r="P15" s="186"/>
      <c r="Q15" s="88">
        <f t="shared" si="4"/>
        <v>13</v>
      </c>
      <c r="R15" s="59">
        <v>18.78</v>
      </c>
      <c r="S15" s="60">
        <v>103</v>
      </c>
      <c r="T15" s="186"/>
      <c r="U15" s="88">
        <f t="shared" si="5"/>
        <v>13</v>
      </c>
      <c r="V15" s="59">
        <v>20</v>
      </c>
      <c r="W15" s="60">
        <v>150</v>
      </c>
      <c r="X15" s="186"/>
      <c r="Y15" s="88">
        <f t="shared" si="6"/>
        <v>13</v>
      </c>
      <c r="Z15" s="59">
        <v>24.2</v>
      </c>
      <c r="AA15" s="60">
        <v>75</v>
      </c>
      <c r="AB15" s="186">
        <v>8.3333333333333329E-2</v>
      </c>
      <c r="AC15" s="88">
        <f t="shared" si="7"/>
        <v>13</v>
      </c>
      <c r="AD15" s="59">
        <v>22</v>
      </c>
      <c r="AE15" s="60">
        <v>265</v>
      </c>
      <c r="AF15" s="186"/>
      <c r="AG15" s="88">
        <f t="shared" si="8"/>
        <v>13</v>
      </c>
      <c r="AH15" s="59">
        <v>41.3</v>
      </c>
      <c r="AI15" s="60">
        <v>215</v>
      </c>
      <c r="AJ15" s="186"/>
      <c r="AK15" s="88">
        <f t="shared" si="9"/>
        <v>13</v>
      </c>
      <c r="AL15" s="59">
        <v>17.399999999999999</v>
      </c>
      <c r="AM15" s="60">
        <v>260</v>
      </c>
      <c r="AN15" s="186"/>
      <c r="AO15" s="88">
        <f t="shared" si="10"/>
        <v>13</v>
      </c>
      <c r="AP15" s="59">
        <v>5.69</v>
      </c>
      <c r="AQ15" s="60">
        <v>40</v>
      </c>
      <c r="AR15" s="186"/>
      <c r="AS15" s="88">
        <f t="shared" si="11"/>
        <v>13</v>
      </c>
      <c r="AT15" s="59">
        <v>26.75</v>
      </c>
      <c r="AU15" s="60">
        <v>409</v>
      </c>
      <c r="AV15" s="186"/>
      <c r="AW15" s="73"/>
    </row>
    <row r="16" spans="1:49" s="54" customFormat="1" ht="11.25" x14ac:dyDescent="0.2">
      <c r="A16" s="86">
        <f t="shared" si="0"/>
        <v>14</v>
      </c>
      <c r="B16" s="59">
        <v>10.27</v>
      </c>
      <c r="C16" s="60">
        <v>60</v>
      </c>
      <c r="D16" s="186"/>
      <c r="E16" s="88">
        <f t="shared" si="1"/>
        <v>14</v>
      </c>
      <c r="F16" s="59">
        <v>40</v>
      </c>
      <c r="G16" s="60">
        <v>35</v>
      </c>
      <c r="H16" s="186"/>
      <c r="I16" s="88">
        <f t="shared" si="2"/>
        <v>14</v>
      </c>
      <c r="J16" s="59">
        <v>21.6</v>
      </c>
      <c r="K16" s="60">
        <v>140</v>
      </c>
      <c r="L16" s="186"/>
      <c r="M16" s="88">
        <f t="shared" si="3"/>
        <v>14</v>
      </c>
      <c r="N16" s="59">
        <v>9.0399999999999991</v>
      </c>
      <c r="O16" s="60">
        <v>48</v>
      </c>
      <c r="P16" s="186"/>
      <c r="Q16" s="88">
        <f t="shared" si="4"/>
        <v>14</v>
      </c>
      <c r="R16" s="59">
        <v>14.5</v>
      </c>
      <c r="S16" s="54">
        <v>130</v>
      </c>
      <c r="T16" s="186"/>
      <c r="U16" s="88">
        <f t="shared" si="5"/>
        <v>14</v>
      </c>
      <c r="V16" s="59"/>
      <c r="W16" s="60"/>
      <c r="X16" s="186"/>
      <c r="Y16" s="88">
        <f t="shared" si="6"/>
        <v>14</v>
      </c>
      <c r="Z16" s="59">
        <v>9.2100000000000009</v>
      </c>
      <c r="AA16" s="60">
        <v>53</v>
      </c>
      <c r="AB16" s="186"/>
      <c r="AC16" s="88">
        <f t="shared" si="7"/>
        <v>14</v>
      </c>
      <c r="AD16" s="59">
        <v>33.700000000000003</v>
      </c>
      <c r="AE16" s="60">
        <v>496</v>
      </c>
      <c r="AF16" s="186"/>
      <c r="AG16" s="88">
        <f t="shared" si="8"/>
        <v>14</v>
      </c>
      <c r="AH16" s="59">
        <v>66.3</v>
      </c>
      <c r="AI16" s="60">
        <v>750</v>
      </c>
      <c r="AJ16" s="186"/>
      <c r="AK16" s="88">
        <f t="shared" si="9"/>
        <v>14</v>
      </c>
      <c r="AL16" s="59">
        <v>11.49</v>
      </c>
      <c r="AM16" s="60">
        <v>70</v>
      </c>
      <c r="AN16" s="186"/>
      <c r="AO16" s="88">
        <f t="shared" si="10"/>
        <v>14</v>
      </c>
      <c r="AP16" s="59">
        <v>6.8</v>
      </c>
      <c r="AQ16" s="60">
        <v>20</v>
      </c>
      <c r="AR16" s="186"/>
      <c r="AS16" s="88">
        <f t="shared" si="11"/>
        <v>14</v>
      </c>
      <c r="AT16" s="59">
        <v>12.46</v>
      </c>
      <c r="AU16" s="60">
        <v>351</v>
      </c>
      <c r="AV16" s="186"/>
      <c r="AW16" s="73"/>
    </row>
    <row r="17" spans="1:49" s="54" customFormat="1" ht="11.25" x14ac:dyDescent="0.2">
      <c r="A17" s="86">
        <f t="shared" si="0"/>
        <v>15</v>
      </c>
      <c r="B17" s="59">
        <v>16.099999999999998</v>
      </c>
      <c r="C17" s="60">
        <v>97</v>
      </c>
      <c r="D17" s="186"/>
      <c r="E17" s="88">
        <f t="shared" si="1"/>
        <v>15</v>
      </c>
      <c r="F17" s="59">
        <v>12.6</v>
      </c>
      <c r="G17" s="60">
        <v>212</v>
      </c>
      <c r="H17" s="186"/>
      <c r="I17" s="88">
        <f t="shared" si="2"/>
        <v>15</v>
      </c>
      <c r="J17" s="59">
        <v>15</v>
      </c>
      <c r="K17" s="60">
        <v>50</v>
      </c>
      <c r="L17" s="186"/>
      <c r="M17" s="88">
        <f t="shared" si="3"/>
        <v>15</v>
      </c>
      <c r="N17" s="59">
        <v>9</v>
      </c>
      <c r="O17" s="60">
        <v>33</v>
      </c>
      <c r="P17" s="186"/>
      <c r="Q17" s="88">
        <f t="shared" si="4"/>
        <v>15</v>
      </c>
      <c r="R17" s="59">
        <v>9.86</v>
      </c>
      <c r="S17" s="54">
        <v>58</v>
      </c>
      <c r="T17" s="186"/>
      <c r="U17" s="88">
        <f t="shared" si="5"/>
        <v>15</v>
      </c>
      <c r="V17" s="59">
        <v>10</v>
      </c>
      <c r="W17" s="60">
        <v>15</v>
      </c>
      <c r="X17" s="186"/>
      <c r="Y17" s="88">
        <f t="shared" si="6"/>
        <v>15</v>
      </c>
      <c r="Z17" s="59">
        <v>21.074999999999999</v>
      </c>
      <c r="AA17" s="60">
        <v>12</v>
      </c>
      <c r="AB17" s="186">
        <v>2.0833333333333332E-2</v>
      </c>
      <c r="AC17" s="88">
        <f t="shared" si="7"/>
        <v>15</v>
      </c>
      <c r="AD17" s="59">
        <v>25.200000000000003</v>
      </c>
      <c r="AE17" s="60">
        <v>110</v>
      </c>
      <c r="AF17" s="186"/>
      <c r="AG17" s="88">
        <f t="shared" si="8"/>
        <v>15</v>
      </c>
      <c r="AH17" s="59">
        <v>10.84</v>
      </c>
      <c r="AI17" s="60">
        <v>65</v>
      </c>
      <c r="AJ17" s="186"/>
      <c r="AK17" s="88">
        <f t="shared" si="9"/>
        <v>15</v>
      </c>
      <c r="AL17" s="59">
        <v>16</v>
      </c>
      <c r="AM17" s="60">
        <v>65</v>
      </c>
      <c r="AN17" s="186"/>
      <c r="AO17" s="88">
        <f t="shared" si="10"/>
        <v>15</v>
      </c>
      <c r="AP17" s="59">
        <v>41.28</v>
      </c>
      <c r="AQ17" s="60">
        <v>680</v>
      </c>
      <c r="AR17" s="186">
        <v>4.1666666666666664E-2</v>
      </c>
      <c r="AS17" s="88">
        <f t="shared" si="11"/>
        <v>15</v>
      </c>
      <c r="AT17" s="59">
        <v>59</v>
      </c>
      <c r="AU17" s="60">
        <v>335</v>
      </c>
      <c r="AV17" s="186"/>
      <c r="AW17" s="73"/>
    </row>
    <row r="18" spans="1:49" s="54" customFormat="1" ht="11.25" x14ac:dyDescent="0.2">
      <c r="A18" s="86">
        <f t="shared" si="0"/>
        <v>16</v>
      </c>
      <c r="B18" s="59">
        <v>14.8</v>
      </c>
      <c r="C18" s="60">
        <v>330</v>
      </c>
      <c r="D18" s="186"/>
      <c r="E18" s="88">
        <f t="shared" si="1"/>
        <v>16</v>
      </c>
      <c r="F18" s="59">
        <v>41.3</v>
      </c>
      <c r="G18" s="60">
        <v>757</v>
      </c>
      <c r="H18" s="186"/>
      <c r="I18" s="88">
        <f t="shared" si="2"/>
        <v>16</v>
      </c>
      <c r="J18" s="59">
        <v>35.1</v>
      </c>
      <c r="K18" s="60">
        <v>385</v>
      </c>
      <c r="L18" s="186"/>
      <c r="M18" s="88">
        <f t="shared" si="3"/>
        <v>16</v>
      </c>
      <c r="N18" s="59">
        <v>12.7</v>
      </c>
      <c r="O18" s="60">
        <v>45</v>
      </c>
      <c r="P18" s="186"/>
      <c r="Q18" s="88">
        <f t="shared" si="4"/>
        <v>16</v>
      </c>
      <c r="R18" s="59">
        <v>26</v>
      </c>
      <c r="S18" s="60">
        <v>477</v>
      </c>
      <c r="T18" s="186"/>
      <c r="U18" s="88">
        <f t="shared" si="5"/>
        <v>16</v>
      </c>
      <c r="V18" s="59"/>
      <c r="W18" s="60"/>
      <c r="X18" s="186"/>
      <c r="Y18" s="88">
        <f t="shared" si="6"/>
        <v>16</v>
      </c>
      <c r="Z18" s="59">
        <v>8.6999999999999993</v>
      </c>
      <c r="AA18" s="60">
        <v>48</v>
      </c>
      <c r="AB18" s="186"/>
      <c r="AC18" s="88">
        <f t="shared" si="7"/>
        <v>16</v>
      </c>
      <c r="AD18" s="59">
        <v>34.299999999999997</v>
      </c>
      <c r="AE18" s="60">
        <v>390</v>
      </c>
      <c r="AF18" s="186"/>
      <c r="AG18" s="88">
        <f t="shared" si="8"/>
        <v>16</v>
      </c>
      <c r="AH18" s="59">
        <v>21.61</v>
      </c>
      <c r="AI18" s="60">
        <v>108</v>
      </c>
      <c r="AJ18" s="186"/>
      <c r="AK18" s="88">
        <f t="shared" si="9"/>
        <v>16</v>
      </c>
      <c r="AL18" s="59">
        <v>11.3</v>
      </c>
      <c r="AM18" s="60">
        <v>60</v>
      </c>
      <c r="AN18" s="186"/>
      <c r="AO18" s="88">
        <f t="shared" si="10"/>
        <v>16</v>
      </c>
      <c r="AP18" s="59">
        <v>46.870000000000005</v>
      </c>
      <c r="AQ18" s="60">
        <v>755</v>
      </c>
      <c r="AR18" s="186"/>
      <c r="AS18" s="88">
        <f t="shared" si="11"/>
        <v>16</v>
      </c>
      <c r="AT18" s="59">
        <v>15.75</v>
      </c>
      <c r="AU18" s="60">
        <v>150</v>
      </c>
      <c r="AV18" s="186"/>
      <c r="AW18" s="73"/>
    </row>
    <row r="19" spans="1:49" s="54" customFormat="1" ht="11.25" x14ac:dyDescent="0.2">
      <c r="A19" s="86">
        <f t="shared" si="0"/>
        <v>17</v>
      </c>
      <c r="B19" s="59">
        <v>15.559999999999999</v>
      </c>
      <c r="C19" s="60">
        <v>363</v>
      </c>
      <c r="D19" s="186"/>
      <c r="E19" s="88">
        <f t="shared" si="1"/>
        <v>17</v>
      </c>
      <c r="F19" s="59">
        <v>25.21</v>
      </c>
      <c r="G19" s="60">
        <v>29</v>
      </c>
      <c r="H19" s="186"/>
      <c r="I19" s="88">
        <f t="shared" si="2"/>
        <v>17</v>
      </c>
      <c r="J19" s="59">
        <v>17.2</v>
      </c>
      <c r="K19" s="60">
        <v>262</v>
      </c>
      <c r="L19" s="186"/>
      <c r="M19" s="88">
        <f t="shared" si="3"/>
        <v>17</v>
      </c>
      <c r="N19" s="59">
        <v>18</v>
      </c>
      <c r="O19" s="60">
        <v>75</v>
      </c>
      <c r="P19" s="186"/>
      <c r="Q19" s="88">
        <f t="shared" si="4"/>
        <v>17</v>
      </c>
      <c r="R19" s="59">
        <v>26</v>
      </c>
      <c r="S19" s="60">
        <v>477</v>
      </c>
      <c r="T19" s="186"/>
      <c r="U19" s="88">
        <f t="shared" si="5"/>
        <v>17</v>
      </c>
      <c r="V19" s="59">
        <v>28.270000000000003</v>
      </c>
      <c r="W19" s="60">
        <v>385</v>
      </c>
      <c r="X19" s="186"/>
      <c r="Y19" s="88">
        <f t="shared" si="6"/>
        <v>17</v>
      </c>
      <c r="Z19" s="59">
        <v>10.3</v>
      </c>
      <c r="AA19" s="60">
        <v>100</v>
      </c>
      <c r="AB19" s="186"/>
      <c r="AC19" s="88">
        <f t="shared" si="7"/>
        <v>17</v>
      </c>
      <c r="AD19" s="59">
        <v>17.900000000000002</v>
      </c>
      <c r="AE19" s="60">
        <v>75</v>
      </c>
      <c r="AF19" s="186"/>
      <c r="AG19" s="88">
        <f t="shared" si="8"/>
        <v>17</v>
      </c>
      <c r="AH19" s="59">
        <v>19.32</v>
      </c>
      <c r="AI19" s="60">
        <v>398</v>
      </c>
      <c r="AJ19" s="186"/>
      <c r="AK19" s="88">
        <f t="shared" si="9"/>
        <v>17</v>
      </c>
      <c r="AL19" s="59">
        <v>11.5</v>
      </c>
      <c r="AM19" s="60">
        <v>60</v>
      </c>
      <c r="AN19" s="186"/>
      <c r="AO19" s="88">
        <f t="shared" si="10"/>
        <v>17</v>
      </c>
      <c r="AP19" s="59">
        <v>20.25</v>
      </c>
      <c r="AQ19" s="60">
        <v>10</v>
      </c>
      <c r="AR19" s="186"/>
      <c r="AS19" s="88">
        <f t="shared" si="11"/>
        <v>17</v>
      </c>
      <c r="AT19" s="59">
        <v>16.45</v>
      </c>
      <c r="AU19" s="60">
        <v>150</v>
      </c>
      <c r="AV19" s="186"/>
      <c r="AW19" s="73"/>
    </row>
    <row r="20" spans="1:49" s="54" customFormat="1" ht="11.25" x14ac:dyDescent="0.2">
      <c r="A20" s="86">
        <f t="shared" si="0"/>
        <v>18</v>
      </c>
      <c r="B20" s="59">
        <v>67.06</v>
      </c>
      <c r="C20" s="60">
        <v>438</v>
      </c>
      <c r="D20" s="186"/>
      <c r="E20" s="88">
        <f t="shared" si="1"/>
        <v>18</v>
      </c>
      <c r="F20" s="59">
        <v>11.72</v>
      </c>
      <c r="G20" s="60">
        <v>115</v>
      </c>
      <c r="H20" s="186"/>
      <c r="I20" s="88">
        <f t="shared" si="2"/>
        <v>18</v>
      </c>
      <c r="J20" s="59">
        <v>12.5</v>
      </c>
      <c r="K20" s="60">
        <v>50</v>
      </c>
      <c r="L20" s="186"/>
      <c r="M20" s="88">
        <f t="shared" si="3"/>
        <v>18</v>
      </c>
      <c r="N20" s="59">
        <v>20.6</v>
      </c>
      <c r="O20" s="60">
        <v>75</v>
      </c>
      <c r="P20" s="186"/>
      <c r="Q20" s="88">
        <f t="shared" si="4"/>
        <v>18</v>
      </c>
      <c r="R20" s="59">
        <v>59.6</v>
      </c>
      <c r="S20" s="60">
        <v>955</v>
      </c>
      <c r="T20" s="186"/>
      <c r="U20" s="88">
        <f t="shared" si="5"/>
        <v>18</v>
      </c>
      <c r="V20" s="59">
        <v>58.900000000000006</v>
      </c>
      <c r="W20" s="60">
        <v>895</v>
      </c>
      <c r="X20" s="186"/>
      <c r="Y20" s="88">
        <f t="shared" si="6"/>
        <v>18</v>
      </c>
      <c r="Z20" s="59">
        <v>16</v>
      </c>
      <c r="AA20" s="60">
        <v>65</v>
      </c>
      <c r="AB20" s="186"/>
      <c r="AC20" s="88">
        <f t="shared" si="7"/>
        <v>18</v>
      </c>
      <c r="AD20" s="59">
        <v>14.6</v>
      </c>
      <c r="AE20" s="60">
        <v>85</v>
      </c>
      <c r="AF20" s="186"/>
      <c r="AG20" s="88">
        <f t="shared" si="8"/>
        <v>18</v>
      </c>
      <c r="AH20" s="59">
        <v>10.4</v>
      </c>
      <c r="AI20" s="60">
        <v>50</v>
      </c>
      <c r="AJ20" s="186"/>
      <c r="AK20" s="88">
        <f t="shared" si="9"/>
        <v>18</v>
      </c>
      <c r="AL20" s="59">
        <v>43.47</v>
      </c>
      <c r="AM20" s="60">
        <v>1437</v>
      </c>
      <c r="AN20" s="186"/>
      <c r="AO20" s="88">
        <f t="shared" si="10"/>
        <v>18</v>
      </c>
      <c r="AP20" s="59">
        <v>10.4</v>
      </c>
      <c r="AQ20" s="60">
        <v>40</v>
      </c>
      <c r="AR20" s="186"/>
      <c r="AS20" s="88">
        <f t="shared" si="11"/>
        <v>18</v>
      </c>
      <c r="AT20" s="59">
        <v>13.42</v>
      </c>
      <c r="AU20" s="60">
        <v>15</v>
      </c>
      <c r="AV20" s="186"/>
      <c r="AW20" s="73"/>
    </row>
    <row r="21" spans="1:49" s="54" customFormat="1" ht="11.25" x14ac:dyDescent="0.2">
      <c r="A21" s="86">
        <f t="shared" si="0"/>
        <v>19</v>
      </c>
      <c r="B21" s="59">
        <v>27.66</v>
      </c>
      <c r="C21" s="60">
        <v>105</v>
      </c>
      <c r="D21" s="186"/>
      <c r="E21" s="88">
        <f t="shared" si="1"/>
        <v>19</v>
      </c>
      <c r="F21" s="59">
        <v>25.21</v>
      </c>
      <c r="G21" s="60">
        <v>29</v>
      </c>
      <c r="H21" s="186"/>
      <c r="I21" s="88">
        <f t="shared" si="2"/>
        <v>19</v>
      </c>
      <c r="J21" s="59">
        <v>21.6</v>
      </c>
      <c r="K21" s="60">
        <v>50</v>
      </c>
      <c r="L21" s="186"/>
      <c r="M21" s="88">
        <f t="shared" si="3"/>
        <v>19</v>
      </c>
      <c r="N21" s="59">
        <v>53.86</v>
      </c>
      <c r="O21" s="60">
        <v>584</v>
      </c>
      <c r="P21" s="186"/>
      <c r="Q21" s="88">
        <f t="shared" si="4"/>
        <v>19</v>
      </c>
      <c r="R21" s="59">
        <v>17.82</v>
      </c>
      <c r="S21" s="60">
        <v>160</v>
      </c>
      <c r="T21" s="186"/>
      <c r="U21" s="88">
        <f t="shared" si="5"/>
        <v>19</v>
      </c>
      <c r="V21" s="59">
        <v>37.200000000000003</v>
      </c>
      <c r="W21" s="60">
        <v>604</v>
      </c>
      <c r="X21" s="186"/>
      <c r="Y21" s="88">
        <f t="shared" si="6"/>
        <v>19</v>
      </c>
      <c r="Z21" s="59">
        <v>62.41</v>
      </c>
      <c r="AA21" s="60">
        <v>750</v>
      </c>
      <c r="AB21" s="186"/>
      <c r="AC21" s="88">
        <f t="shared" si="7"/>
        <v>19</v>
      </c>
      <c r="AD21" s="59">
        <v>14.8</v>
      </c>
      <c r="AE21" s="60">
        <v>330</v>
      </c>
      <c r="AF21" s="186"/>
      <c r="AG21" s="88">
        <f t="shared" si="8"/>
        <v>19</v>
      </c>
      <c r="AH21" s="59">
        <v>16.8</v>
      </c>
      <c r="AI21" s="60">
        <v>80</v>
      </c>
      <c r="AJ21" s="186"/>
      <c r="AK21" s="88">
        <f t="shared" si="9"/>
        <v>19</v>
      </c>
      <c r="AL21" s="59">
        <v>31.6</v>
      </c>
      <c r="AM21" s="60">
        <v>616</v>
      </c>
      <c r="AN21" s="186"/>
      <c r="AO21" s="88">
        <f t="shared" si="10"/>
        <v>19</v>
      </c>
      <c r="AP21" s="59">
        <v>21.3</v>
      </c>
      <c r="AQ21" s="60">
        <v>75</v>
      </c>
      <c r="AR21" s="186"/>
      <c r="AS21" s="88">
        <f t="shared" si="11"/>
        <v>19</v>
      </c>
      <c r="AT21" s="59">
        <v>10.3</v>
      </c>
      <c r="AU21" s="60">
        <v>15</v>
      </c>
      <c r="AV21" s="186"/>
      <c r="AW21" s="73"/>
    </row>
    <row r="22" spans="1:49" s="54" customFormat="1" ht="11.25" x14ac:dyDescent="0.2">
      <c r="A22" s="86">
        <f t="shared" si="0"/>
        <v>20</v>
      </c>
      <c r="B22" s="59">
        <v>10.5</v>
      </c>
      <c r="C22" s="60">
        <v>35</v>
      </c>
      <c r="D22" s="186"/>
      <c r="E22" s="88">
        <f t="shared" si="1"/>
        <v>20</v>
      </c>
      <c r="F22" s="59">
        <v>8.8099999999999987</v>
      </c>
      <c r="G22" s="60">
        <v>41</v>
      </c>
      <c r="H22" s="186"/>
      <c r="I22" s="88">
        <f t="shared" si="2"/>
        <v>20</v>
      </c>
      <c r="J22" s="59"/>
      <c r="K22" s="60"/>
      <c r="L22" s="186"/>
      <c r="M22" s="88">
        <f t="shared" si="3"/>
        <v>20</v>
      </c>
      <c r="N22" s="59">
        <v>44.1</v>
      </c>
      <c r="O22" s="60">
        <v>565</v>
      </c>
      <c r="P22" s="186">
        <v>0.10416666666666667</v>
      </c>
      <c r="Q22" s="88">
        <f t="shared" si="4"/>
        <v>20</v>
      </c>
      <c r="R22" s="59">
        <v>111.31</v>
      </c>
      <c r="S22" s="60">
        <v>1460</v>
      </c>
      <c r="T22" s="186"/>
      <c r="U22" s="88">
        <f t="shared" si="5"/>
        <v>20</v>
      </c>
      <c r="V22" s="59">
        <v>34.6</v>
      </c>
      <c r="W22" s="60">
        <v>200</v>
      </c>
      <c r="X22" s="186"/>
      <c r="Y22" s="88">
        <f t="shared" si="6"/>
        <v>20</v>
      </c>
      <c r="Z22" s="59">
        <v>18.71</v>
      </c>
      <c r="AA22" s="60">
        <v>409</v>
      </c>
      <c r="AB22" s="186"/>
      <c r="AC22" s="88">
        <f t="shared" si="7"/>
        <v>20</v>
      </c>
      <c r="AD22" s="59">
        <v>22.189999999999998</v>
      </c>
      <c r="AE22" s="60">
        <v>523</v>
      </c>
      <c r="AF22" s="186"/>
      <c r="AG22" s="88">
        <f t="shared" si="8"/>
        <v>20</v>
      </c>
      <c r="AH22" s="59">
        <v>50.999999999999993</v>
      </c>
      <c r="AI22" s="60">
        <v>450</v>
      </c>
      <c r="AJ22" s="186"/>
      <c r="AK22" s="88">
        <f t="shared" si="9"/>
        <v>20</v>
      </c>
      <c r="AL22" s="59">
        <v>15.77</v>
      </c>
      <c r="AM22" s="60">
        <v>45</v>
      </c>
      <c r="AN22" s="186"/>
      <c r="AO22" s="88">
        <f t="shared" si="10"/>
        <v>20</v>
      </c>
      <c r="AP22" s="59">
        <v>11.4</v>
      </c>
      <c r="AQ22" s="60">
        <v>45</v>
      </c>
      <c r="AR22" s="186"/>
      <c r="AS22" s="88">
        <f t="shared" si="11"/>
        <v>20</v>
      </c>
      <c r="AT22" s="59">
        <v>26.58</v>
      </c>
      <c r="AU22" s="60">
        <v>477</v>
      </c>
      <c r="AV22" s="186"/>
      <c r="AW22" s="73"/>
    </row>
    <row r="23" spans="1:49" s="54" customFormat="1" ht="11.25" x14ac:dyDescent="0.2">
      <c r="A23" s="86">
        <f t="shared" si="0"/>
        <v>21</v>
      </c>
      <c r="B23" s="59">
        <v>16.3</v>
      </c>
      <c r="C23" s="60">
        <v>20</v>
      </c>
      <c r="D23" s="186"/>
      <c r="E23" s="88">
        <f t="shared" si="1"/>
        <v>21</v>
      </c>
      <c r="F23" s="59">
        <v>14.36</v>
      </c>
      <c r="G23" s="60">
        <v>343</v>
      </c>
      <c r="H23" s="186"/>
      <c r="I23" s="88">
        <f t="shared" si="2"/>
        <v>21</v>
      </c>
      <c r="J23" s="59"/>
      <c r="K23" s="60"/>
      <c r="L23" s="186"/>
      <c r="M23" s="88">
        <f t="shared" si="3"/>
        <v>21</v>
      </c>
      <c r="N23" s="59">
        <v>44.6</v>
      </c>
      <c r="O23" s="60">
        <v>630</v>
      </c>
      <c r="P23" s="186"/>
      <c r="Q23" s="88">
        <f t="shared" si="4"/>
        <v>21</v>
      </c>
      <c r="R23" s="59">
        <v>12.76</v>
      </c>
      <c r="S23" s="60">
        <v>73</v>
      </c>
      <c r="T23" s="186"/>
      <c r="U23" s="88">
        <f t="shared" si="5"/>
        <v>21</v>
      </c>
      <c r="V23" s="59">
        <v>26.03</v>
      </c>
      <c r="W23" s="60">
        <v>352</v>
      </c>
      <c r="X23" s="186"/>
      <c r="Y23" s="88">
        <f t="shared" si="6"/>
        <v>21</v>
      </c>
      <c r="Z23" s="59">
        <v>10.4</v>
      </c>
      <c r="AA23" s="60">
        <v>53</v>
      </c>
      <c r="AB23" s="186"/>
      <c r="AC23" s="88">
        <f t="shared" si="7"/>
        <v>21</v>
      </c>
      <c r="AD23" s="59">
        <v>16.02</v>
      </c>
      <c r="AE23" s="60">
        <v>225</v>
      </c>
      <c r="AF23" s="186"/>
      <c r="AG23" s="88">
        <f t="shared" si="8"/>
        <v>21</v>
      </c>
      <c r="AH23" s="59">
        <v>30.3</v>
      </c>
      <c r="AI23" s="60">
        <v>270</v>
      </c>
      <c r="AJ23" s="186">
        <v>2.6388888888888889E-2</v>
      </c>
      <c r="AK23" s="88">
        <f t="shared" si="9"/>
        <v>21</v>
      </c>
      <c r="AL23" s="59">
        <v>8.6</v>
      </c>
      <c r="AM23" s="60">
        <v>50</v>
      </c>
      <c r="AN23" s="186"/>
      <c r="AO23" s="88">
        <f t="shared" si="10"/>
        <v>21</v>
      </c>
      <c r="AP23" s="59">
        <v>31.5</v>
      </c>
      <c r="AQ23" s="60">
        <v>120</v>
      </c>
      <c r="AR23" s="186"/>
      <c r="AS23" s="88">
        <f t="shared" si="11"/>
        <v>21</v>
      </c>
      <c r="AT23" s="59">
        <v>45.08</v>
      </c>
      <c r="AU23" s="60">
        <v>607</v>
      </c>
      <c r="AV23" s="186"/>
      <c r="AW23" s="73"/>
    </row>
    <row r="24" spans="1:49" s="54" customFormat="1" ht="11.25" x14ac:dyDescent="0.2">
      <c r="A24" s="86">
        <f t="shared" si="0"/>
        <v>22</v>
      </c>
      <c r="B24" s="59">
        <v>13.48</v>
      </c>
      <c r="C24" s="60">
        <v>102</v>
      </c>
      <c r="D24" s="186"/>
      <c r="E24" s="88">
        <f t="shared" si="1"/>
        <v>22</v>
      </c>
      <c r="F24" s="59">
        <v>43.72999999999999</v>
      </c>
      <c r="G24" s="60">
        <v>590</v>
      </c>
      <c r="H24" s="186"/>
      <c r="I24" s="88">
        <f t="shared" si="2"/>
        <v>22</v>
      </c>
      <c r="J24" s="59"/>
      <c r="K24" s="60"/>
      <c r="L24" s="186"/>
      <c r="M24" s="88">
        <f t="shared" si="3"/>
        <v>22</v>
      </c>
      <c r="N24" s="59">
        <v>9</v>
      </c>
      <c r="O24" s="60">
        <v>15</v>
      </c>
      <c r="P24" s="186"/>
      <c r="Q24" s="88">
        <f t="shared" si="4"/>
        <v>22</v>
      </c>
      <c r="R24" s="59">
        <v>22.5</v>
      </c>
      <c r="S24" s="54">
        <v>230</v>
      </c>
      <c r="T24" s="186"/>
      <c r="U24" s="88">
        <f t="shared" si="5"/>
        <v>22</v>
      </c>
      <c r="V24" s="59"/>
      <c r="W24" s="60"/>
      <c r="X24" s="186"/>
      <c r="Y24" s="88">
        <f t="shared" si="6"/>
        <v>22</v>
      </c>
      <c r="Z24" s="59">
        <v>19.7</v>
      </c>
      <c r="AA24" s="60">
        <v>113</v>
      </c>
      <c r="AB24" s="186"/>
      <c r="AC24" s="88">
        <f t="shared" si="7"/>
        <v>22</v>
      </c>
      <c r="AD24" s="59">
        <v>14.8</v>
      </c>
      <c r="AE24" s="60">
        <v>350</v>
      </c>
      <c r="AF24" s="186"/>
      <c r="AG24" s="88">
        <f t="shared" si="8"/>
        <v>22</v>
      </c>
      <c r="AH24" s="59">
        <v>11.5</v>
      </c>
      <c r="AI24" s="60">
        <v>5</v>
      </c>
      <c r="AJ24" s="186"/>
      <c r="AK24" s="88">
        <f t="shared" si="9"/>
        <v>22</v>
      </c>
      <c r="AL24" s="59">
        <v>11.3</v>
      </c>
      <c r="AM24" s="60">
        <v>45</v>
      </c>
      <c r="AN24" s="186"/>
      <c r="AO24" s="88">
        <f t="shared" si="10"/>
        <v>22</v>
      </c>
      <c r="AP24" s="59">
        <v>65.2</v>
      </c>
      <c r="AQ24" s="60">
        <v>325</v>
      </c>
      <c r="AR24" s="186"/>
      <c r="AS24" s="88">
        <f t="shared" si="11"/>
        <v>22</v>
      </c>
      <c r="AT24" s="59">
        <v>14.6</v>
      </c>
      <c r="AU24" s="60">
        <v>45</v>
      </c>
      <c r="AV24" s="186"/>
      <c r="AW24" s="73"/>
    </row>
    <row r="25" spans="1:49" s="54" customFormat="1" ht="11.25" x14ac:dyDescent="0.2">
      <c r="A25" s="86">
        <f t="shared" si="0"/>
        <v>23</v>
      </c>
      <c r="B25" s="59">
        <v>14.5</v>
      </c>
      <c r="C25" s="60">
        <v>30</v>
      </c>
      <c r="D25" s="186"/>
      <c r="E25" s="88">
        <f t="shared" si="1"/>
        <v>23</v>
      </c>
      <c r="F25" s="59">
        <v>44.000000000000007</v>
      </c>
      <c r="G25" s="60">
        <v>484</v>
      </c>
      <c r="H25" s="186">
        <v>2.0833333333333332E-2</v>
      </c>
      <c r="I25" s="88">
        <f t="shared" si="2"/>
        <v>23</v>
      </c>
      <c r="J25" s="59"/>
      <c r="K25" s="60"/>
      <c r="L25" s="186"/>
      <c r="M25" s="88">
        <f t="shared" si="3"/>
        <v>23</v>
      </c>
      <c r="N25" s="59">
        <v>10.355</v>
      </c>
      <c r="O25" s="60">
        <v>32</v>
      </c>
      <c r="P25" s="186"/>
      <c r="Q25" s="88">
        <f t="shared" si="4"/>
        <v>23</v>
      </c>
      <c r="R25" s="59">
        <v>11.48</v>
      </c>
      <c r="S25" s="60">
        <v>100</v>
      </c>
      <c r="T25" s="186"/>
      <c r="U25" s="88">
        <f t="shared" si="5"/>
        <v>23</v>
      </c>
      <c r="V25" s="59">
        <v>7.8</v>
      </c>
      <c r="W25" s="60">
        <v>10</v>
      </c>
      <c r="X25" s="186"/>
      <c r="Y25" s="88">
        <f t="shared" si="6"/>
        <v>23</v>
      </c>
      <c r="Z25" s="59">
        <v>20.63</v>
      </c>
      <c r="AA25" s="60">
        <v>480</v>
      </c>
      <c r="AB25" s="186"/>
      <c r="AC25" s="88">
        <f t="shared" si="7"/>
        <v>23</v>
      </c>
      <c r="AD25" s="59">
        <v>23.18</v>
      </c>
      <c r="AE25" s="60">
        <v>220</v>
      </c>
      <c r="AF25" s="186"/>
      <c r="AG25" s="88">
        <f t="shared" si="8"/>
        <v>23</v>
      </c>
      <c r="AH25" s="59">
        <v>26.650000000000002</v>
      </c>
      <c r="AI25" s="60">
        <v>168</v>
      </c>
      <c r="AJ25" s="186"/>
      <c r="AK25" s="88">
        <f t="shared" si="9"/>
        <v>23</v>
      </c>
      <c r="AL25" s="59">
        <v>14.27</v>
      </c>
      <c r="AM25" s="60">
        <v>45</v>
      </c>
      <c r="AN25" s="186"/>
      <c r="AO25" s="88">
        <f t="shared" si="10"/>
        <v>23</v>
      </c>
      <c r="AP25" s="59">
        <v>52.87</v>
      </c>
      <c r="AQ25" s="60">
        <v>1290</v>
      </c>
      <c r="AR25" s="186"/>
      <c r="AS25" s="88">
        <f t="shared" si="11"/>
        <v>23</v>
      </c>
      <c r="AT25" s="59">
        <v>14.8</v>
      </c>
      <c r="AU25" s="60">
        <v>330</v>
      </c>
      <c r="AV25" s="186"/>
      <c r="AW25" s="73"/>
    </row>
    <row r="26" spans="1:49" s="54" customFormat="1" ht="11.25" x14ac:dyDescent="0.2">
      <c r="A26" s="86">
        <f t="shared" si="0"/>
        <v>24</v>
      </c>
      <c r="B26" s="59">
        <v>17.3</v>
      </c>
      <c r="C26" s="60">
        <v>238</v>
      </c>
      <c r="D26" s="186"/>
      <c r="E26" s="88">
        <f t="shared" si="1"/>
        <v>24</v>
      </c>
      <c r="F26" s="59">
        <v>24.95</v>
      </c>
      <c r="G26" s="60">
        <v>197</v>
      </c>
      <c r="H26" s="186"/>
      <c r="I26" s="88">
        <f t="shared" si="2"/>
        <v>24</v>
      </c>
      <c r="J26" s="59">
        <v>11.1</v>
      </c>
      <c r="K26" s="60">
        <v>35</v>
      </c>
      <c r="L26" s="186"/>
      <c r="M26" s="88">
        <f t="shared" si="3"/>
        <v>24</v>
      </c>
      <c r="N26" s="59">
        <v>9.86</v>
      </c>
      <c r="O26" s="60">
        <v>58</v>
      </c>
      <c r="P26" s="186"/>
      <c r="Q26" s="88">
        <f t="shared" si="4"/>
        <v>24</v>
      </c>
      <c r="R26" s="59">
        <v>26.71</v>
      </c>
      <c r="S26" s="60">
        <v>83</v>
      </c>
      <c r="T26" s="186"/>
      <c r="U26" s="88">
        <f t="shared" si="5"/>
        <v>24</v>
      </c>
      <c r="V26" s="59">
        <v>52</v>
      </c>
      <c r="W26" s="60">
        <v>100</v>
      </c>
      <c r="X26" s="186"/>
      <c r="Y26" s="88">
        <f t="shared" si="6"/>
        <v>24</v>
      </c>
      <c r="Z26" s="59">
        <v>19.7</v>
      </c>
      <c r="AA26" s="60">
        <v>113</v>
      </c>
      <c r="AB26" s="186"/>
      <c r="AC26" s="88">
        <f t="shared" si="7"/>
        <v>24</v>
      </c>
      <c r="AD26" s="59">
        <v>24.33</v>
      </c>
      <c r="AE26" s="60">
        <v>480</v>
      </c>
      <c r="AF26" s="186"/>
      <c r="AG26" s="88">
        <f t="shared" si="8"/>
        <v>24</v>
      </c>
      <c r="AH26" s="59">
        <v>22.83</v>
      </c>
      <c r="AI26" s="60">
        <v>172</v>
      </c>
      <c r="AJ26" s="186"/>
      <c r="AK26" s="88">
        <f t="shared" si="9"/>
        <v>24</v>
      </c>
      <c r="AL26" s="59">
        <v>16</v>
      </c>
      <c r="AM26" s="60">
        <v>65</v>
      </c>
      <c r="AN26" s="186"/>
      <c r="AO26" s="88">
        <f t="shared" si="10"/>
        <v>24</v>
      </c>
      <c r="AP26" s="59">
        <v>8.1</v>
      </c>
      <c r="AQ26" s="60">
        <v>47</v>
      </c>
      <c r="AR26" s="186"/>
      <c r="AS26" s="88">
        <f t="shared" si="11"/>
        <v>24</v>
      </c>
      <c r="AT26" s="59">
        <v>30.3</v>
      </c>
      <c r="AU26" s="60">
        <v>270</v>
      </c>
      <c r="AV26" s="186"/>
      <c r="AW26" s="73"/>
    </row>
    <row r="27" spans="1:49" s="54" customFormat="1" ht="11.25" x14ac:dyDescent="0.2">
      <c r="A27" s="86">
        <f t="shared" si="0"/>
        <v>25</v>
      </c>
      <c r="B27" s="59">
        <v>26.5</v>
      </c>
      <c r="C27" s="60">
        <v>377</v>
      </c>
      <c r="D27" s="186"/>
      <c r="E27" s="88">
        <f t="shared" si="1"/>
        <v>25</v>
      </c>
      <c r="F27" s="59">
        <v>29.02</v>
      </c>
      <c r="G27" s="60">
        <v>50</v>
      </c>
      <c r="H27" s="186"/>
      <c r="I27" s="88">
        <f t="shared" si="2"/>
        <v>25</v>
      </c>
      <c r="J27" s="59">
        <v>17</v>
      </c>
      <c r="K27" s="60">
        <v>157</v>
      </c>
      <c r="L27" s="186"/>
      <c r="M27" s="88">
        <f t="shared" si="3"/>
        <v>25</v>
      </c>
      <c r="N27" s="59">
        <v>12.08</v>
      </c>
      <c r="O27" s="60">
        <v>60</v>
      </c>
      <c r="P27" s="186"/>
      <c r="Q27" s="88">
        <f t="shared" si="4"/>
        <v>25</v>
      </c>
      <c r="R27" s="59">
        <v>15</v>
      </c>
      <c r="S27" s="60">
        <v>215</v>
      </c>
      <c r="T27" s="186"/>
      <c r="U27" s="88">
        <f t="shared" si="5"/>
        <v>25</v>
      </c>
      <c r="V27" s="59">
        <v>43.12</v>
      </c>
      <c r="W27" s="60">
        <v>245</v>
      </c>
      <c r="X27" s="186"/>
      <c r="Y27" s="88">
        <f t="shared" si="6"/>
        <v>25</v>
      </c>
      <c r="Z27" s="59">
        <v>22.53</v>
      </c>
      <c r="AA27" s="60">
        <v>143</v>
      </c>
      <c r="AB27" s="186"/>
      <c r="AC27" s="88">
        <f t="shared" si="7"/>
        <v>25</v>
      </c>
      <c r="AD27" s="59">
        <v>18.100000000000001</v>
      </c>
      <c r="AE27" s="60">
        <v>225</v>
      </c>
      <c r="AF27" s="186"/>
      <c r="AG27" s="88">
        <f t="shared" si="8"/>
        <v>25</v>
      </c>
      <c r="AH27" s="59">
        <v>17.400000000000002</v>
      </c>
      <c r="AI27" s="60">
        <v>370</v>
      </c>
      <c r="AJ27" s="186"/>
      <c r="AK27" s="88">
        <f t="shared" si="9"/>
        <v>25</v>
      </c>
      <c r="AL27" s="59">
        <v>11.940000000000001</v>
      </c>
      <c r="AM27" s="60">
        <v>63</v>
      </c>
      <c r="AN27" s="186"/>
      <c r="AO27" s="88">
        <f t="shared" si="10"/>
        <v>25</v>
      </c>
      <c r="AP27" s="59"/>
      <c r="AQ27" s="60"/>
      <c r="AR27" s="186">
        <v>2.0833333333333332E-2</v>
      </c>
      <c r="AS27" s="88">
        <f t="shared" si="11"/>
        <v>25</v>
      </c>
      <c r="AT27" s="59">
        <v>28.08</v>
      </c>
      <c r="AU27" s="60">
        <v>497</v>
      </c>
      <c r="AV27" s="186"/>
      <c r="AW27" s="73"/>
    </row>
    <row r="28" spans="1:49" s="54" customFormat="1" ht="11.25" x14ac:dyDescent="0.2">
      <c r="A28" s="86">
        <f t="shared" si="0"/>
        <v>26</v>
      </c>
      <c r="B28" s="59"/>
      <c r="C28" s="60"/>
      <c r="D28" s="186"/>
      <c r="E28" s="88">
        <f t="shared" si="1"/>
        <v>26</v>
      </c>
      <c r="F28" s="59">
        <v>3.2199999999999998</v>
      </c>
      <c r="G28" s="60">
        <v>19</v>
      </c>
      <c r="H28" s="186"/>
      <c r="I28" s="88">
        <f t="shared" si="2"/>
        <v>26</v>
      </c>
      <c r="J28" s="59">
        <v>29.05</v>
      </c>
      <c r="K28" s="60">
        <v>190</v>
      </c>
      <c r="L28" s="186"/>
      <c r="M28" s="88">
        <f t="shared" si="3"/>
        <v>26</v>
      </c>
      <c r="N28" s="59">
        <v>51.06</v>
      </c>
      <c r="O28" s="60">
        <v>1123</v>
      </c>
      <c r="P28" s="186"/>
      <c r="Q28" s="88">
        <f t="shared" si="4"/>
        <v>26</v>
      </c>
      <c r="R28" s="59">
        <v>18.8</v>
      </c>
      <c r="S28" s="60">
        <v>135</v>
      </c>
      <c r="T28" s="186"/>
      <c r="U28" s="88">
        <f t="shared" si="5"/>
        <v>26</v>
      </c>
      <c r="V28" s="59">
        <v>22.68</v>
      </c>
      <c r="W28" s="60">
        <v>300</v>
      </c>
      <c r="X28" s="186"/>
      <c r="Y28" s="88">
        <f t="shared" si="6"/>
        <v>26</v>
      </c>
      <c r="Z28" s="59">
        <v>45.01</v>
      </c>
      <c r="AA28" s="60">
        <v>702</v>
      </c>
      <c r="AB28" s="186"/>
      <c r="AC28" s="88">
        <f t="shared" si="7"/>
        <v>26</v>
      </c>
      <c r="AD28" s="59">
        <v>10</v>
      </c>
      <c r="AE28" s="60">
        <v>40</v>
      </c>
      <c r="AF28" s="186"/>
      <c r="AG28" s="88">
        <f t="shared" si="8"/>
        <v>26</v>
      </c>
      <c r="AH28" s="59">
        <v>72.53</v>
      </c>
      <c r="AI28" s="60">
        <v>188</v>
      </c>
      <c r="AJ28" s="186"/>
      <c r="AK28" s="88">
        <f t="shared" si="9"/>
        <v>26</v>
      </c>
      <c r="AL28" s="59">
        <v>30.3</v>
      </c>
      <c r="AM28" s="60">
        <v>270</v>
      </c>
      <c r="AN28" s="186"/>
      <c r="AO28" s="88">
        <f t="shared" si="10"/>
        <v>26</v>
      </c>
      <c r="AP28" s="59">
        <v>11.8</v>
      </c>
      <c r="AQ28" s="60">
        <v>90</v>
      </c>
      <c r="AR28" s="186"/>
      <c r="AS28" s="88">
        <f t="shared" si="11"/>
        <v>26</v>
      </c>
      <c r="AT28" s="59">
        <v>30.6</v>
      </c>
      <c r="AU28" s="60">
        <v>30</v>
      </c>
      <c r="AV28" s="186"/>
      <c r="AW28" s="73"/>
    </row>
    <row r="29" spans="1:49" s="54" customFormat="1" ht="11.25" x14ac:dyDescent="0.2">
      <c r="A29" s="86">
        <f t="shared" si="0"/>
        <v>27</v>
      </c>
      <c r="B29" s="59"/>
      <c r="C29" s="60"/>
      <c r="D29" s="186"/>
      <c r="E29" s="88">
        <f t="shared" si="1"/>
        <v>27</v>
      </c>
      <c r="F29" s="59">
        <v>10.4</v>
      </c>
      <c r="G29" s="60">
        <v>25</v>
      </c>
      <c r="H29" s="186"/>
      <c r="I29" s="88">
        <f t="shared" si="2"/>
        <v>27</v>
      </c>
      <c r="J29" s="59">
        <v>33.5</v>
      </c>
      <c r="K29" s="60">
        <v>275</v>
      </c>
      <c r="L29" s="186"/>
      <c r="M29" s="88">
        <f t="shared" si="3"/>
        <v>27</v>
      </c>
      <c r="N29" s="59">
        <v>10.4</v>
      </c>
      <c r="O29" s="60">
        <v>20</v>
      </c>
      <c r="P29" s="186"/>
      <c r="Q29" s="88">
        <f t="shared" si="4"/>
        <v>27</v>
      </c>
      <c r="R29" s="59">
        <v>10.72</v>
      </c>
      <c r="S29" s="60">
        <v>255</v>
      </c>
      <c r="T29" s="186"/>
      <c r="U29" s="88">
        <f t="shared" si="5"/>
        <v>27</v>
      </c>
      <c r="V29" s="59">
        <v>12.68</v>
      </c>
      <c r="W29" s="60">
        <v>100</v>
      </c>
      <c r="X29" s="186"/>
      <c r="Y29" s="88">
        <f t="shared" si="6"/>
        <v>27</v>
      </c>
      <c r="Z29" s="59">
        <v>51.259999999999991</v>
      </c>
      <c r="AA29" s="60">
        <v>613</v>
      </c>
      <c r="AB29" s="186"/>
      <c r="AC29" s="88">
        <f t="shared" si="7"/>
        <v>27</v>
      </c>
      <c r="AD29" s="59">
        <v>22.83</v>
      </c>
      <c r="AE29" s="60">
        <v>172</v>
      </c>
      <c r="AF29" s="186"/>
      <c r="AG29" s="88">
        <f t="shared" si="8"/>
        <v>27</v>
      </c>
      <c r="AH29" s="59">
        <v>14.36</v>
      </c>
      <c r="AI29" s="60">
        <v>343</v>
      </c>
      <c r="AJ29" s="186"/>
      <c r="AK29" s="88">
        <f t="shared" si="9"/>
        <v>27</v>
      </c>
      <c r="AL29" s="59">
        <v>18.7</v>
      </c>
      <c r="AM29" s="60">
        <v>87</v>
      </c>
      <c r="AN29" s="186"/>
      <c r="AO29" s="88">
        <f t="shared" si="10"/>
        <v>27</v>
      </c>
      <c r="AP29" s="59"/>
      <c r="AQ29" s="60"/>
      <c r="AR29" s="186"/>
      <c r="AS29" s="88">
        <f t="shared" si="11"/>
        <v>27</v>
      </c>
      <c r="AT29" s="59">
        <v>10.199999999999999</v>
      </c>
      <c r="AU29" s="60">
        <v>3</v>
      </c>
      <c r="AV29" s="186">
        <v>2.4305555555555556E-2</v>
      </c>
      <c r="AW29" s="73"/>
    </row>
    <row r="30" spans="1:49" s="54" customFormat="1" ht="11.25" x14ac:dyDescent="0.2">
      <c r="A30" s="86">
        <f t="shared" si="0"/>
        <v>28</v>
      </c>
      <c r="B30" s="59">
        <v>12.05</v>
      </c>
      <c r="C30" s="60">
        <v>68</v>
      </c>
      <c r="D30" s="186"/>
      <c r="E30" s="88">
        <f t="shared" si="1"/>
        <v>28</v>
      </c>
      <c r="F30" s="59">
        <v>32.200000000000003</v>
      </c>
      <c r="G30" s="60">
        <v>195</v>
      </c>
      <c r="H30" s="186"/>
      <c r="I30" s="88">
        <f t="shared" si="2"/>
        <v>28</v>
      </c>
      <c r="J30" s="59">
        <v>18.5</v>
      </c>
      <c r="K30" s="60">
        <v>157</v>
      </c>
      <c r="L30" s="186"/>
      <c r="M30" s="88">
        <f t="shared" si="3"/>
        <v>28</v>
      </c>
      <c r="N30" s="59">
        <v>10.199999999999999</v>
      </c>
      <c r="O30" s="60">
        <v>45</v>
      </c>
      <c r="P30" s="186"/>
      <c r="Q30" s="88">
        <f t="shared" si="4"/>
        <v>28</v>
      </c>
      <c r="R30" s="59">
        <v>18.8</v>
      </c>
      <c r="S30" s="60">
        <v>45</v>
      </c>
      <c r="T30" s="186"/>
      <c r="U30" s="88">
        <f t="shared" si="5"/>
        <v>28</v>
      </c>
      <c r="V30" s="59"/>
      <c r="W30" s="60"/>
      <c r="X30" s="186"/>
      <c r="Y30" s="88">
        <f t="shared" si="6"/>
        <v>28</v>
      </c>
      <c r="Z30" s="59">
        <v>17.399999999999999</v>
      </c>
      <c r="AA30" s="60">
        <v>78</v>
      </c>
      <c r="AB30" s="186"/>
      <c r="AC30" s="88">
        <f t="shared" si="7"/>
        <v>28</v>
      </c>
      <c r="AD30" s="59">
        <v>24.099999999999998</v>
      </c>
      <c r="AE30" s="60">
        <v>565</v>
      </c>
      <c r="AF30" s="186"/>
      <c r="AG30" s="88">
        <f t="shared" si="8"/>
        <v>28</v>
      </c>
      <c r="AH30" s="59"/>
      <c r="AI30" s="60"/>
      <c r="AJ30" s="186"/>
      <c r="AK30" s="88">
        <f t="shared" si="9"/>
        <v>28</v>
      </c>
      <c r="AL30" s="59">
        <v>19.760000000000002</v>
      </c>
      <c r="AM30" s="60">
        <v>139</v>
      </c>
      <c r="AN30" s="186"/>
      <c r="AO30" s="88">
        <f t="shared" si="10"/>
        <v>28</v>
      </c>
      <c r="AP30" s="59">
        <v>9.7100000000000009</v>
      </c>
      <c r="AQ30" s="60">
        <v>290</v>
      </c>
      <c r="AR30" s="186"/>
      <c r="AS30" s="88">
        <f t="shared" si="11"/>
        <v>28</v>
      </c>
      <c r="AT30" s="59">
        <v>28.1</v>
      </c>
      <c r="AU30" s="60">
        <v>160</v>
      </c>
      <c r="AV30" s="186"/>
      <c r="AW30" s="73"/>
    </row>
    <row r="31" spans="1:49" s="54" customFormat="1" ht="11.25" x14ac:dyDescent="0.2">
      <c r="A31" s="86">
        <f t="shared" si="0"/>
        <v>29</v>
      </c>
      <c r="B31" s="59">
        <v>12.8</v>
      </c>
      <c r="C31" s="60">
        <v>85</v>
      </c>
      <c r="D31" s="186"/>
      <c r="E31" s="88"/>
      <c r="F31" s="59"/>
      <c r="G31" s="60"/>
      <c r="H31" s="186"/>
      <c r="I31" s="88">
        <f t="shared" si="2"/>
        <v>29</v>
      </c>
      <c r="J31" s="59">
        <v>52.05</v>
      </c>
      <c r="K31" s="60">
        <v>571</v>
      </c>
      <c r="L31" s="186"/>
      <c r="M31" s="88">
        <f t="shared" si="3"/>
        <v>29</v>
      </c>
      <c r="N31" s="59">
        <v>14.7</v>
      </c>
      <c r="O31" s="60">
        <v>45</v>
      </c>
      <c r="P31" s="186"/>
      <c r="Q31" s="88">
        <f t="shared" si="4"/>
        <v>29</v>
      </c>
      <c r="R31" s="59">
        <v>33.4</v>
      </c>
      <c r="S31" s="60">
        <v>484</v>
      </c>
      <c r="T31" s="186"/>
      <c r="U31" s="88">
        <f t="shared" si="5"/>
        <v>29</v>
      </c>
      <c r="V31" s="59"/>
      <c r="W31" s="60"/>
      <c r="X31" s="186"/>
      <c r="Y31" s="88">
        <f t="shared" si="6"/>
        <v>29</v>
      </c>
      <c r="Z31" s="59"/>
      <c r="AA31" s="60"/>
      <c r="AB31" s="186"/>
      <c r="AC31" s="88">
        <f t="shared" si="7"/>
        <v>29</v>
      </c>
      <c r="AD31" s="59">
        <v>15.06</v>
      </c>
      <c r="AE31" s="60">
        <v>556</v>
      </c>
      <c r="AF31" s="186"/>
      <c r="AG31" s="88">
        <f t="shared" si="8"/>
        <v>29</v>
      </c>
      <c r="AH31" s="59"/>
      <c r="AI31" s="60"/>
      <c r="AJ31" s="186"/>
      <c r="AK31" s="88">
        <f t="shared" si="9"/>
        <v>29</v>
      </c>
      <c r="AL31" s="59">
        <v>22.83</v>
      </c>
      <c r="AM31" s="60">
        <v>172</v>
      </c>
      <c r="AN31" s="186"/>
      <c r="AO31" s="88">
        <f t="shared" si="10"/>
        <v>29</v>
      </c>
      <c r="AP31" s="59">
        <v>78</v>
      </c>
      <c r="AQ31" s="60">
        <v>150</v>
      </c>
      <c r="AR31" s="186"/>
      <c r="AS31" s="88">
        <f t="shared" si="11"/>
        <v>29</v>
      </c>
      <c r="AT31" s="59">
        <v>10.1</v>
      </c>
      <c r="AU31" s="60">
        <v>13</v>
      </c>
      <c r="AV31" s="186"/>
      <c r="AW31" s="73"/>
    </row>
    <row r="32" spans="1:49" s="54" customFormat="1" ht="11.25" x14ac:dyDescent="0.2">
      <c r="A32" s="86">
        <f t="shared" si="0"/>
        <v>30</v>
      </c>
      <c r="B32" s="59">
        <v>14.01</v>
      </c>
      <c r="C32" s="60">
        <v>157</v>
      </c>
      <c r="D32" s="186"/>
      <c r="E32" s="88"/>
      <c r="F32" s="59"/>
      <c r="G32" s="60"/>
      <c r="H32" s="186"/>
      <c r="I32" s="88">
        <f t="shared" si="2"/>
        <v>30</v>
      </c>
      <c r="J32" s="59">
        <v>71.86999999999999</v>
      </c>
      <c r="K32" s="60">
        <v>896</v>
      </c>
      <c r="L32" s="186"/>
      <c r="M32" s="88">
        <f t="shared" si="3"/>
        <v>30</v>
      </c>
      <c r="N32" s="59">
        <v>18.529999999999998</v>
      </c>
      <c r="O32" s="60">
        <v>419</v>
      </c>
      <c r="P32" s="186"/>
      <c r="Q32" s="88">
        <f t="shared" si="4"/>
        <v>30</v>
      </c>
      <c r="R32" s="59">
        <v>10.7</v>
      </c>
      <c r="S32" s="60">
        <v>30</v>
      </c>
      <c r="T32" s="186"/>
      <c r="U32" s="88">
        <f t="shared" si="5"/>
        <v>30</v>
      </c>
      <c r="V32" s="59">
        <v>14.36</v>
      </c>
      <c r="W32" s="60">
        <v>343</v>
      </c>
      <c r="X32" s="186"/>
      <c r="Y32" s="88">
        <f t="shared" si="6"/>
        <v>30</v>
      </c>
      <c r="Z32" s="59"/>
      <c r="AA32" s="60"/>
      <c r="AB32" s="186"/>
      <c r="AC32" s="88">
        <f t="shared" si="7"/>
        <v>30</v>
      </c>
      <c r="AD32" s="59">
        <v>38.14</v>
      </c>
      <c r="AE32" s="60">
        <v>576</v>
      </c>
      <c r="AF32" s="186"/>
      <c r="AG32" s="88">
        <f t="shared" si="8"/>
        <v>30</v>
      </c>
      <c r="AH32" s="59"/>
      <c r="AI32" s="60"/>
      <c r="AJ32" s="186"/>
      <c r="AK32" s="88">
        <f t="shared" si="9"/>
        <v>30</v>
      </c>
      <c r="AL32" s="59">
        <v>24.66</v>
      </c>
      <c r="AM32" s="60">
        <v>25</v>
      </c>
      <c r="AN32" s="186"/>
      <c r="AO32" s="88">
        <f t="shared" si="10"/>
        <v>30</v>
      </c>
      <c r="AP32" s="59">
        <v>50.3</v>
      </c>
      <c r="AQ32" s="60">
        <v>46</v>
      </c>
      <c r="AR32" s="186"/>
      <c r="AS32" s="88">
        <f t="shared" si="11"/>
        <v>30</v>
      </c>
      <c r="AT32" s="59">
        <v>10.3</v>
      </c>
      <c r="AU32" s="60">
        <v>3</v>
      </c>
      <c r="AV32" s="186"/>
      <c r="AW32" s="73"/>
    </row>
    <row r="33" spans="1:49" s="54" customFormat="1" ht="11.25" x14ac:dyDescent="0.2">
      <c r="A33" s="87">
        <f t="shared" si="0"/>
        <v>31</v>
      </c>
      <c r="B33" s="68">
        <v>15.559999999999999</v>
      </c>
      <c r="C33" s="69">
        <v>367</v>
      </c>
      <c r="D33" s="187"/>
      <c r="E33" s="89"/>
      <c r="F33" s="68"/>
      <c r="G33" s="69"/>
      <c r="H33" s="187"/>
      <c r="I33" s="89">
        <f t="shared" si="2"/>
        <v>31</v>
      </c>
      <c r="J33" s="68">
        <v>9.86</v>
      </c>
      <c r="K33" s="69">
        <v>58</v>
      </c>
      <c r="L33" s="187"/>
      <c r="M33" s="89"/>
      <c r="N33" s="68"/>
      <c r="O33" s="69"/>
      <c r="P33" s="187"/>
      <c r="Q33" s="89">
        <f t="shared" si="4"/>
        <v>31</v>
      </c>
      <c r="R33" s="68">
        <v>26</v>
      </c>
      <c r="S33" s="69">
        <v>477</v>
      </c>
      <c r="T33" s="187"/>
      <c r="U33" s="89"/>
      <c r="V33" s="68"/>
      <c r="W33" s="69"/>
      <c r="X33" s="187"/>
      <c r="Y33" s="89">
        <f t="shared" si="6"/>
        <v>31</v>
      </c>
      <c r="Z33" s="68"/>
      <c r="AA33" s="69"/>
      <c r="AB33" s="187">
        <v>4.1666666666666664E-2</v>
      </c>
      <c r="AC33" s="89">
        <f t="shared" si="7"/>
        <v>31</v>
      </c>
      <c r="AD33" s="68">
        <v>33.589999999999996</v>
      </c>
      <c r="AE33" s="69">
        <v>431</v>
      </c>
      <c r="AF33" s="187"/>
      <c r="AG33" s="89"/>
      <c r="AH33" s="68"/>
      <c r="AI33" s="69"/>
      <c r="AJ33" s="187"/>
      <c r="AK33" s="89">
        <f t="shared" si="9"/>
        <v>31</v>
      </c>
      <c r="AL33" s="68">
        <v>22.189999999999998</v>
      </c>
      <c r="AM33" s="69">
        <v>523</v>
      </c>
      <c r="AN33" s="187"/>
      <c r="AO33" s="89"/>
      <c r="AP33" s="68"/>
      <c r="AQ33" s="69"/>
      <c r="AR33" s="187"/>
      <c r="AS33" s="89">
        <f t="shared" si="11"/>
        <v>31</v>
      </c>
      <c r="AT33" s="68">
        <v>10.8</v>
      </c>
      <c r="AU33" s="69">
        <v>35</v>
      </c>
      <c r="AV33" s="187"/>
      <c r="AW33" s="73"/>
    </row>
    <row r="34" spans="1:49" s="54" customFormat="1" ht="11.25" x14ac:dyDescent="0.2">
      <c r="A34" s="50" t="s">
        <v>95</v>
      </c>
      <c r="B34" s="52">
        <f>SUM(B3:B33)</f>
        <v>546.27</v>
      </c>
      <c r="C34" s="53">
        <f>SUM(C3:C33)</f>
        <v>5009</v>
      </c>
      <c r="D34" s="92">
        <f>(SUM(D3:D33)/D39)*C39</f>
        <v>32</v>
      </c>
      <c r="E34" s="71"/>
      <c r="F34" s="52">
        <f>SUM(F3:F33)</f>
        <v>565.63000000000011</v>
      </c>
      <c r="G34" s="53">
        <f>SUM(G3:G33)</f>
        <v>5327</v>
      </c>
      <c r="H34" s="92">
        <f>(SUM(H3:H33)/D39)*C39</f>
        <v>12</v>
      </c>
      <c r="I34" s="71"/>
      <c r="J34" s="52">
        <f>SUM(J3:J33)</f>
        <v>755.75</v>
      </c>
      <c r="K34" s="53">
        <f>SUM(K3:K33)</f>
        <v>6998</v>
      </c>
      <c r="L34" s="92">
        <f>(SUM(L3:L33)/D39)*C39</f>
        <v>0</v>
      </c>
      <c r="M34" s="90"/>
      <c r="N34" s="52">
        <f>SUM(N3:N33)</f>
        <v>666.2750000000002</v>
      </c>
      <c r="O34" s="53">
        <f>SUM(O3:O33)</f>
        <v>8106</v>
      </c>
      <c r="P34" s="92">
        <f>(SUM(P3:P33)/D39)*C39</f>
        <v>60.000000000000014</v>
      </c>
      <c r="Q34" s="71"/>
      <c r="R34" s="52">
        <f>SUM(R3:R33)</f>
        <v>790.39</v>
      </c>
      <c r="S34" s="53">
        <f>SUM(S3:S33)</f>
        <v>8627</v>
      </c>
      <c r="T34" s="92">
        <f>(SUM(T3:T33)/D39)*C39</f>
        <v>30.000000000000007</v>
      </c>
      <c r="U34" s="71"/>
      <c r="V34" s="52">
        <f>SUM(V3:V33)</f>
        <v>810.99999999999989</v>
      </c>
      <c r="W34" s="53">
        <f>SUM(W3:W33)</f>
        <v>8882</v>
      </c>
      <c r="X34" s="92">
        <f>(SUM(X3:X33)/D39)*C39</f>
        <v>0</v>
      </c>
      <c r="Y34" s="71"/>
      <c r="Z34" s="52">
        <f>SUM(Z3:Z33)</f>
        <v>665.43499999999983</v>
      </c>
      <c r="AA34" s="53">
        <f>SUM(AA3:AA33)</f>
        <v>8249</v>
      </c>
      <c r="AB34" s="92">
        <f>(SUM(AB3:AB33)/D39)*C39</f>
        <v>110.79999999999998</v>
      </c>
      <c r="AC34" s="71"/>
      <c r="AD34" s="52">
        <f>SUM(AD3:AD33)</f>
        <v>714.19</v>
      </c>
      <c r="AE34" s="53">
        <f>SUM(AE3:AE33)</f>
        <v>11173</v>
      </c>
      <c r="AF34" s="92">
        <f>(SUM(AF3:AF33)/D39)*C39</f>
        <v>0</v>
      </c>
      <c r="AG34" s="71"/>
      <c r="AH34" s="59">
        <f>SUM(AH3:AH33)</f>
        <v>668.55</v>
      </c>
      <c r="AI34" s="53">
        <f>SUM(AI3:AI33)</f>
        <v>6681</v>
      </c>
      <c r="AJ34" s="92">
        <f>(SUM(AJ3:AJ33)/D39)*C39</f>
        <v>15.200000000000003</v>
      </c>
      <c r="AK34" s="71"/>
      <c r="AL34" s="52">
        <f>SUM(AL3:AL33)</f>
        <v>531.12000000000012</v>
      </c>
      <c r="AM34" s="53">
        <f>SUM(AM3:AM33)</f>
        <v>6127</v>
      </c>
      <c r="AN34" s="92">
        <f>(SUM(AN3:AN33)/D39)*C39</f>
        <v>25.600000000000005</v>
      </c>
      <c r="AO34" s="71"/>
      <c r="AP34" s="52">
        <f>SUM(AP3:AP33)</f>
        <v>830.34</v>
      </c>
      <c r="AQ34" s="53">
        <f>SUM(AQ3:AQ33)</f>
        <v>7503</v>
      </c>
      <c r="AR34" s="92">
        <f>(SUM(AR3:AR33)/D39)*C39</f>
        <v>36</v>
      </c>
      <c r="AS34" s="71"/>
      <c r="AT34" s="52">
        <f>SUM(AT3:AT33)</f>
        <v>568.93999999999994</v>
      </c>
      <c r="AU34" s="53">
        <f>SUM(AU3:AU33)</f>
        <v>5431</v>
      </c>
      <c r="AV34" s="92">
        <f>(SUM(AV3:AV33)/D39)*C39</f>
        <v>14</v>
      </c>
      <c r="AW34" s="73"/>
    </row>
    <row r="35" spans="1:49" s="57" customFormat="1" ht="11.25" x14ac:dyDescent="0.2">
      <c r="A35" s="51" t="s">
        <v>96</v>
      </c>
      <c r="B35" s="55">
        <f>B34</f>
        <v>546.27</v>
      </c>
      <c r="C35" s="56">
        <f>C34</f>
        <v>5009</v>
      </c>
      <c r="D35" s="93">
        <f>D34</f>
        <v>32</v>
      </c>
      <c r="E35" s="72"/>
      <c r="F35" s="55">
        <f>F34+B35</f>
        <v>1111.9000000000001</v>
      </c>
      <c r="G35" s="56">
        <f>G34+C35</f>
        <v>10336</v>
      </c>
      <c r="H35" s="93">
        <f>H34+D35</f>
        <v>44</v>
      </c>
      <c r="I35" s="72"/>
      <c r="J35" s="55">
        <f>J34+F35</f>
        <v>1867.65</v>
      </c>
      <c r="K35" s="56">
        <f>K34+G35</f>
        <v>17334</v>
      </c>
      <c r="L35" s="93">
        <f>L34+H35</f>
        <v>44</v>
      </c>
      <c r="M35" s="72"/>
      <c r="N35" s="55">
        <f>N34+J35</f>
        <v>2533.9250000000002</v>
      </c>
      <c r="O35" s="56">
        <f>O34+K35</f>
        <v>25440</v>
      </c>
      <c r="P35" s="93">
        <f>P34+L35</f>
        <v>104.00000000000001</v>
      </c>
      <c r="Q35" s="72"/>
      <c r="R35" s="55">
        <f>R34+N35</f>
        <v>3324.3150000000001</v>
      </c>
      <c r="S35" s="56">
        <f>S34+O35</f>
        <v>34067</v>
      </c>
      <c r="T35" s="93">
        <f>T34+P35</f>
        <v>134.00000000000003</v>
      </c>
      <c r="U35" s="72"/>
      <c r="V35" s="55">
        <f>V34+R35</f>
        <v>4135.3149999999996</v>
      </c>
      <c r="W35" s="56">
        <f>W34+S35</f>
        <v>42949</v>
      </c>
      <c r="X35" s="93">
        <f>X34+T35</f>
        <v>134.00000000000003</v>
      </c>
      <c r="Y35" s="72"/>
      <c r="Z35" s="55">
        <f>Z34+V35</f>
        <v>4800.7499999999991</v>
      </c>
      <c r="AA35" s="56">
        <f>AA34+W35</f>
        <v>51198</v>
      </c>
      <c r="AB35" s="93">
        <f>AB34+X35</f>
        <v>244.8</v>
      </c>
      <c r="AC35" s="72"/>
      <c r="AD35" s="55">
        <f>AD34+Z35</f>
        <v>5514.9399999999987</v>
      </c>
      <c r="AE35" s="56">
        <f>AE34+AA35</f>
        <v>62371</v>
      </c>
      <c r="AF35" s="93">
        <f>AF34+AB35</f>
        <v>244.8</v>
      </c>
      <c r="AG35" s="72"/>
      <c r="AH35" s="100">
        <f>AH34+AD35</f>
        <v>6183.4899999999989</v>
      </c>
      <c r="AI35" s="56">
        <f>AI34+AE35</f>
        <v>69052</v>
      </c>
      <c r="AJ35" s="93">
        <f>AJ34+AF35</f>
        <v>260</v>
      </c>
      <c r="AK35" s="72"/>
      <c r="AL35" s="55">
        <f>AL34+AH35</f>
        <v>6714.6099999999988</v>
      </c>
      <c r="AM35" s="56">
        <f>AM34+AI35</f>
        <v>75179</v>
      </c>
      <c r="AN35" s="93">
        <f>AN34+AJ35</f>
        <v>285.60000000000002</v>
      </c>
      <c r="AO35" s="72"/>
      <c r="AP35" s="55">
        <f>AP34+AL35</f>
        <v>7544.9499999999989</v>
      </c>
      <c r="AQ35" s="56">
        <f>AQ34+AM35</f>
        <v>82682</v>
      </c>
      <c r="AR35" s="93">
        <f>AR34+AN35</f>
        <v>321.60000000000002</v>
      </c>
      <c r="AS35" s="72"/>
      <c r="AT35" s="55">
        <f>AT34+AP35</f>
        <v>8113.8899999999985</v>
      </c>
      <c r="AU35" s="56">
        <f>AU34+AQ35</f>
        <v>88113</v>
      </c>
      <c r="AV35" s="93">
        <f>AV34+AR35</f>
        <v>335.6</v>
      </c>
      <c r="AW35" s="106"/>
    </row>
    <row r="36" spans="1:49" s="54" customFormat="1" ht="11.25" x14ac:dyDescent="0.2">
      <c r="A36" s="54" t="s">
        <v>152</v>
      </c>
      <c r="B36" s="378">
        <f>MAX(B3:B33)</f>
        <v>67.06</v>
      </c>
      <c r="C36" s="60">
        <f>MAX(C3:C33)</f>
        <v>444</v>
      </c>
      <c r="D36" s="188">
        <f>MAX(D3:D33)</f>
        <v>5.5555555555555552E-2</v>
      </c>
      <c r="E36" s="73"/>
      <c r="F36" s="59">
        <f>MAX(F3:F33)</f>
        <v>44.000000000000007</v>
      </c>
      <c r="G36" s="60">
        <f>MAX(G3:G33)</f>
        <v>757</v>
      </c>
      <c r="H36" s="188">
        <f>MAX(H3:H33)</f>
        <v>2.0833333333333332E-2</v>
      </c>
      <c r="I36" s="73"/>
      <c r="J36" s="59">
        <f>MAX(J3:J33)</f>
        <v>72.22</v>
      </c>
      <c r="K36" s="60">
        <f>MAX(K3:K33)</f>
        <v>1457</v>
      </c>
      <c r="L36" s="188">
        <f>MAX(L3:L33)</f>
        <v>0</v>
      </c>
      <c r="M36" s="73"/>
      <c r="N36" s="59">
        <f>MAX(N3:N33)</f>
        <v>53.86</v>
      </c>
      <c r="O36" s="60">
        <f>MAX(O3:O33)</f>
        <v>1123</v>
      </c>
      <c r="P36" s="188">
        <f>MAX(P3:P33)</f>
        <v>0.10416666666666667</v>
      </c>
      <c r="Q36" s="73"/>
      <c r="R36" s="59">
        <f>MAX(R3:R33)</f>
        <v>111.31</v>
      </c>
      <c r="S36" s="60">
        <f>MAX(S3:S33)</f>
        <v>1460</v>
      </c>
      <c r="T36" s="188">
        <f>MAX(T3:T33)</f>
        <v>5.2083333333333336E-2</v>
      </c>
      <c r="U36" s="73"/>
      <c r="V36" s="378">
        <f>MAX(V3:V33)</f>
        <v>154.47999999999999</v>
      </c>
      <c r="W36" s="60">
        <f>MAX(W3:W33)</f>
        <v>1552</v>
      </c>
      <c r="X36" s="188">
        <f>MAX(X3:X33)</f>
        <v>0</v>
      </c>
      <c r="Y36" s="73"/>
      <c r="Z36" s="59">
        <f>MAX(Z3:Z33)</f>
        <v>66.44</v>
      </c>
      <c r="AA36" s="60">
        <f>MAX(AA3:AA33)</f>
        <v>1016</v>
      </c>
      <c r="AB36" s="188">
        <f>MAX(AB3:AB33)</f>
        <v>8.3333333333333329E-2</v>
      </c>
      <c r="AC36" s="73"/>
      <c r="AD36" s="59">
        <f>MAX(AD3:AD33)</f>
        <v>98.16</v>
      </c>
      <c r="AE36" s="60">
        <f>MAX(AE3:AE33)</f>
        <v>1445</v>
      </c>
      <c r="AF36" s="188">
        <f>MAX(AF3:AF33)</f>
        <v>0</v>
      </c>
      <c r="AG36" s="73"/>
      <c r="AH36" s="59">
        <f>MAX(AH3:AH33)</f>
        <v>72.53</v>
      </c>
      <c r="AI36" s="60">
        <f>MAX(AI3:AI33)</f>
        <v>750</v>
      </c>
      <c r="AJ36" s="188">
        <f>MAX(AJ3:AJ33)</f>
        <v>2.6388888888888889E-2</v>
      </c>
      <c r="AK36" s="73"/>
      <c r="AL36" s="59">
        <f>MAX(AL3:AL33)</f>
        <v>50.4</v>
      </c>
      <c r="AM36" s="377">
        <f>MAX(AM3:AM33)</f>
        <v>1437</v>
      </c>
      <c r="AN36" s="188">
        <f>MAX(AN3:AN33)</f>
        <v>4.4444444444444446E-2</v>
      </c>
      <c r="AO36" s="73"/>
      <c r="AP36" s="59">
        <f>MAX(AP3:AP33)</f>
        <v>78</v>
      </c>
      <c r="AQ36" s="60">
        <f>MAX(AQ3:AQ33)</f>
        <v>1290</v>
      </c>
      <c r="AR36" s="188">
        <f>MAX(AR3:AR33)</f>
        <v>4.1666666666666664E-2</v>
      </c>
      <c r="AS36" s="73"/>
      <c r="AT36" s="59">
        <f>MAX(AT3:AT33)</f>
        <v>59</v>
      </c>
      <c r="AU36" s="60">
        <f>MAX(AU3:AU33)</f>
        <v>607</v>
      </c>
      <c r="AV36" s="188">
        <f>MAX(AV3:AV33)</f>
        <v>2.4305555555555556E-2</v>
      </c>
      <c r="AW36" s="73"/>
    </row>
    <row r="37" spans="1:49" s="54" customFormat="1" ht="11.25" x14ac:dyDescent="0.2">
      <c r="A37" s="54" t="s">
        <v>348</v>
      </c>
      <c r="B37" s="59">
        <f>IFERROR(AVERAGE(B3:B33),0)</f>
        <v>19.509642857142858</v>
      </c>
      <c r="C37" s="60">
        <f>IFERROR(AVERAGE(C3:C33),0)</f>
        <v>178.89285714285714</v>
      </c>
      <c r="D37" s="188">
        <f>IFERROR(AVERAGE(D3:D33),0)</f>
        <v>5.5555555555555552E-2</v>
      </c>
      <c r="E37" s="73"/>
      <c r="F37" s="59">
        <f>IFERROR(AVERAGE(F3:F33),0)</f>
        <v>20.949259259259264</v>
      </c>
      <c r="G37" s="60">
        <f>IFERROR(AVERAGE(G3:G33),0)</f>
        <v>197.2962962962963</v>
      </c>
      <c r="H37" s="188">
        <f>IFERROR(AVERAGE(H3:H33),0)</f>
        <v>2.0833333333333332E-2</v>
      </c>
      <c r="I37" s="73"/>
      <c r="J37" s="59">
        <f>IFERROR(AVERAGE(J3:J33),0)</f>
        <v>27.99074074074074</v>
      </c>
      <c r="K37" s="60">
        <f>IFERROR(AVERAGE(K3:K33),0)</f>
        <v>259.18518518518516</v>
      </c>
      <c r="L37" s="188">
        <f>IFERROR(AVERAGE(L3:L33),0)</f>
        <v>0</v>
      </c>
      <c r="M37" s="73"/>
      <c r="N37" s="59">
        <f>IFERROR(AVERAGE(N3:N33),0)</f>
        <v>22.209166666666672</v>
      </c>
      <c r="O37" s="60">
        <f>IFERROR(AVERAGE(O3:O33),0)</f>
        <v>270.2</v>
      </c>
      <c r="P37" s="188">
        <f>IFERROR(AVERAGE(P3:P33),0)</f>
        <v>0.10416666666666667</v>
      </c>
      <c r="Q37" s="73"/>
      <c r="R37" s="59">
        <f>IFERROR(AVERAGE(R3:R33),0)</f>
        <v>25.496451612903225</v>
      </c>
      <c r="S37" s="60">
        <f>IFERROR(AVERAGE(S3:S33),0)</f>
        <v>278.29032258064518</v>
      </c>
      <c r="T37" s="188">
        <f>IFERROR(AVERAGE(T3:T33),0)</f>
        <v>5.2083333333333336E-2</v>
      </c>
      <c r="U37" s="73"/>
      <c r="V37" s="59">
        <f>IFERROR(AVERAGE(V3:V33),0)</f>
        <v>32.44</v>
      </c>
      <c r="W37" s="60">
        <f>IFERROR(AVERAGE(W3:W33),0)</f>
        <v>355.28</v>
      </c>
      <c r="X37" s="188">
        <f>IFERROR(AVERAGE(X3:X33),0)</f>
        <v>0</v>
      </c>
      <c r="Y37" s="73"/>
      <c r="Z37" s="59">
        <f>IFERROR(AVERAGE(Z3:Z33),0)</f>
        <v>23.765535714285708</v>
      </c>
      <c r="AA37" s="60">
        <f>IFERROR(AVERAGE(AA3:AA33),0)</f>
        <v>294.60714285714283</v>
      </c>
      <c r="AB37" s="188">
        <f>IFERROR(AVERAGE(AB3:AB33),0)</f>
        <v>4.8090277777777773E-2</v>
      </c>
      <c r="AC37" s="73"/>
      <c r="AD37" s="59">
        <f>IFERROR(AVERAGE(AD3:AD33),0)</f>
        <v>23.806333333333335</v>
      </c>
      <c r="AE37" s="60">
        <f>IFERROR(AVERAGE(AE3:AE33),0)</f>
        <v>372.43333333333334</v>
      </c>
      <c r="AF37" s="188">
        <f>IFERROR(AVERAGE(AF3:AF33),0)</f>
        <v>0</v>
      </c>
      <c r="AG37" s="73"/>
      <c r="AH37" s="59">
        <f>IFERROR(AVERAGE(AH3:AH33),0)</f>
        <v>24.761111111111109</v>
      </c>
      <c r="AI37" s="60">
        <f>IFERROR(AVERAGE(AI3:AI33),0)</f>
        <v>247.44444444444446</v>
      </c>
      <c r="AJ37" s="188">
        <f>IFERROR(AVERAGE(AJ3:AJ33),0)</f>
        <v>2.6388888888888889E-2</v>
      </c>
      <c r="AK37" s="73"/>
      <c r="AL37" s="59">
        <f>IFERROR(AVERAGE(AL3:AL33),0)</f>
        <v>20.427692307692311</v>
      </c>
      <c r="AM37" s="60">
        <f>IFERROR(AVERAGE(AM3:AM33),0)</f>
        <v>235.65384615384616</v>
      </c>
      <c r="AN37" s="188">
        <f>IFERROR(AVERAGE(AN3:AN33),0)</f>
        <v>4.4444444444444446E-2</v>
      </c>
      <c r="AO37" s="73"/>
      <c r="AP37" s="59">
        <f>IFERROR(AVERAGE(AP3:AP33),0)</f>
        <v>30.753333333333334</v>
      </c>
      <c r="AQ37" s="60">
        <f>IFERROR(AVERAGE(AQ3:AQ33),0)</f>
        <v>277.88888888888891</v>
      </c>
      <c r="AR37" s="188">
        <f>IFERROR(AVERAGE(AR3:AR33),0)</f>
        <v>3.125E-2</v>
      </c>
      <c r="AS37" s="73"/>
      <c r="AT37" s="59">
        <f>IFERROR(AVERAGE(AT3:AT33),0)</f>
        <v>20.319285714285712</v>
      </c>
      <c r="AU37" s="60">
        <f>IFERROR(AVERAGE(AU3:AU33),0)</f>
        <v>193.96428571428572</v>
      </c>
      <c r="AV37" s="188">
        <f>IFERROR(AVERAGE(AV3:AV33),0)</f>
        <v>2.4305555555555556E-2</v>
      </c>
      <c r="AW37" s="73"/>
    </row>
    <row r="38" spans="1:49" s="54" customFormat="1" ht="11.25" x14ac:dyDescent="0.2">
      <c r="A38" s="54" t="s">
        <v>241</v>
      </c>
      <c r="B38" s="59">
        <f>B34-'13'!B34</f>
        <v>103.71000000000004</v>
      </c>
      <c r="C38" s="91">
        <f>C34-'13'!C34</f>
        <v>-4233</v>
      </c>
      <c r="D38" s="119">
        <f>IF(B34+D34=0,0,D34/(B34+D34))</f>
        <v>5.5337472115101941E-2</v>
      </c>
      <c r="E38" s="73"/>
      <c r="F38" s="59">
        <f>F34-'13'!F34</f>
        <v>330.23000000000013</v>
      </c>
      <c r="G38" s="91">
        <f>G34-'13'!G34</f>
        <v>3660</v>
      </c>
      <c r="H38" s="119">
        <f>IF(F34+H34=0,0,H34/(F34+H34))</f>
        <v>2.0774544258435328E-2</v>
      </c>
      <c r="I38" s="73"/>
      <c r="J38" s="59">
        <f>J34-'13'!J34</f>
        <v>198</v>
      </c>
      <c r="K38" s="91">
        <f>K34-'13'!K34</f>
        <v>1931</v>
      </c>
      <c r="L38" s="119">
        <f>IF(J34+L34=0,0,L34/(J34+L34))</f>
        <v>0</v>
      </c>
      <c r="M38" s="73"/>
      <c r="N38" s="59">
        <f>N34-'13'!N34</f>
        <v>90.425000000000296</v>
      </c>
      <c r="O38" s="91">
        <f>O34-'13'!O34</f>
        <v>1683</v>
      </c>
      <c r="P38" s="119">
        <f>IF(N34+P34=0,0,P34/(N34+P34))</f>
        <v>8.2613335169185217E-2</v>
      </c>
      <c r="Q38" s="73"/>
      <c r="R38" s="59">
        <f>R34-'13'!R34</f>
        <v>418.83999999999992</v>
      </c>
      <c r="S38" s="91">
        <f>S34-'13'!S34</f>
        <v>3462</v>
      </c>
      <c r="T38" s="119">
        <f>IF(R34+T34=0,0,T34/(R34+T34))</f>
        <v>3.6567973768573493E-2</v>
      </c>
      <c r="U38" s="73"/>
      <c r="V38" s="59">
        <f>V34-'13'!V34</f>
        <v>-108.34000000000003</v>
      </c>
      <c r="W38" s="91">
        <f>W34-'13'!W34</f>
        <v>-3778</v>
      </c>
      <c r="X38" s="119">
        <f>IF(V34+X34=0,0,X34/(V34+X34))</f>
        <v>0</v>
      </c>
      <c r="Y38" s="73"/>
      <c r="Z38" s="59">
        <f>Z34-'13'!Z34</f>
        <v>-107.19500000000016</v>
      </c>
      <c r="AA38" s="91">
        <f>AA34-'13'!AA34</f>
        <v>-4029</v>
      </c>
      <c r="AB38" s="119">
        <f>IF(Z34+AB34=0,0,AB34/(Z34+AB34))</f>
        <v>0.14274027839507367</v>
      </c>
      <c r="AC38" s="73"/>
      <c r="AD38" s="59">
        <f>AD34-'13'!AD34</f>
        <v>-21.020000000000095</v>
      </c>
      <c r="AE38" s="91">
        <f>AE34-'13'!AE34</f>
        <v>2555</v>
      </c>
      <c r="AF38" s="119">
        <f>IF(AD34+AF34=0,0,AF34/(AD34+AF34))</f>
        <v>0</v>
      </c>
      <c r="AG38" s="73"/>
      <c r="AH38" s="59">
        <f>AH34-'13'!AH34</f>
        <v>-189.46000000000004</v>
      </c>
      <c r="AI38" s="91">
        <f>AI34-'13'!AI34</f>
        <v>-3591</v>
      </c>
      <c r="AJ38" s="119">
        <f>IF(AH34+AJ34=0,0,AJ34/(AH34+AJ34))</f>
        <v>2.2230347349177334E-2</v>
      </c>
      <c r="AK38" s="73"/>
      <c r="AL38" s="59">
        <f>AL34-'13'!AL34</f>
        <v>-168.29999999999995</v>
      </c>
      <c r="AM38" s="91">
        <f>AM34-'13'!AM34</f>
        <v>-1353</v>
      </c>
      <c r="AN38" s="119">
        <f>IF(AL34+AN34=0,0,AN34/(AL34+AN34))</f>
        <v>4.5983618335967806E-2</v>
      </c>
      <c r="AO38" s="73"/>
      <c r="AP38" s="59">
        <f>AP34-'13'!AP34</f>
        <v>303.25</v>
      </c>
      <c r="AQ38" s="91">
        <f>AQ34-'13'!AQ34</f>
        <v>3283</v>
      </c>
      <c r="AR38" s="119">
        <f>IF(AP34+AR34=0,0,AR34/(AP34+AR34))</f>
        <v>4.1554124246831498E-2</v>
      </c>
      <c r="AS38" s="73"/>
      <c r="AT38" s="59">
        <f>AT34-'13'!AT34</f>
        <v>103.88</v>
      </c>
      <c r="AU38" s="91">
        <f>AU34-'13'!AU34</f>
        <v>1471</v>
      </c>
      <c r="AV38" s="119">
        <f>IF(AT34+AV34=0,0,AV34/(AT34+AV34))</f>
        <v>2.4016193776374928E-2</v>
      </c>
      <c r="AW38" s="73"/>
    </row>
    <row r="39" spans="1:49" s="1" customFormat="1" x14ac:dyDescent="0.2">
      <c r="A39" s="51" t="s">
        <v>158</v>
      </c>
      <c r="B39" s="177" t="s">
        <v>242</v>
      </c>
      <c r="C39" s="178">
        <v>24</v>
      </c>
      <c r="D39" s="189">
        <v>4.1666666666666664E-2</v>
      </c>
      <c r="E39" s="205"/>
      <c r="G39" s="324"/>
      <c r="H39" s="206"/>
      <c r="I39" s="205"/>
      <c r="J39" s="55">
        <f>SUM(B34,F34,J34)</f>
        <v>1867.65</v>
      </c>
      <c r="K39" s="56">
        <f t="shared" ref="K39:L39" si="12">SUM(C34,G34,K34)</f>
        <v>17334</v>
      </c>
      <c r="L39" s="207">
        <f t="shared" si="12"/>
        <v>44</v>
      </c>
      <c r="M39" s="205"/>
      <c r="P39" s="206"/>
      <c r="Q39" s="205"/>
      <c r="T39" s="206"/>
      <c r="U39" s="205"/>
      <c r="V39" s="55">
        <f>SUM(N34,R34,V34)</f>
        <v>2267.665</v>
      </c>
      <c r="W39" s="56">
        <f>SUM(O34,S34,W34)</f>
        <v>25615</v>
      </c>
      <c r="X39" s="207">
        <f>SUM(P34,T34,X34)</f>
        <v>90.000000000000028</v>
      </c>
      <c r="Y39" s="205"/>
      <c r="AB39" s="206"/>
      <c r="AC39" s="205"/>
      <c r="AF39" s="206"/>
      <c r="AG39" s="205"/>
      <c r="AH39" s="100">
        <f>SUM(Z34,AD34,AH34)</f>
        <v>2048.1750000000002</v>
      </c>
      <c r="AI39" s="56">
        <f>SUM(AA34,AE34,AI34)</f>
        <v>26103</v>
      </c>
      <c r="AJ39" s="207">
        <f>SUM(AB34,AF34,AJ34)</f>
        <v>125.99999999999999</v>
      </c>
      <c r="AK39" s="205"/>
      <c r="AN39" s="206"/>
      <c r="AO39" s="205"/>
      <c r="AR39" s="206"/>
      <c r="AS39" s="205"/>
      <c r="AT39" s="55">
        <f>SUM(AL34,AP34,AT34)</f>
        <v>1930.4</v>
      </c>
      <c r="AU39" s="56">
        <f>SUM(AM34,AQ34,AU34)</f>
        <v>19061</v>
      </c>
      <c r="AV39" s="207">
        <f>SUM(AN34,AR34,AV34)</f>
        <v>75.600000000000009</v>
      </c>
      <c r="AW39" s="205"/>
    </row>
    <row r="40" spans="1:49" s="54" customFormat="1" ht="11.25" x14ac:dyDescent="0.2">
      <c r="A40" s="54" t="s">
        <v>347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22.816547619047622</v>
      </c>
      <c r="K40" s="60">
        <f>IFERROR(AVERAGE(C37,G37,K37),0)</f>
        <v>211.79144620811289</v>
      </c>
      <c r="L40" s="188">
        <f>IFERROR(AVERAGE(D37,H37,L37),0)</f>
        <v>2.5462962962962962E-2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26.715206093189966</v>
      </c>
      <c r="W40" s="60">
        <f>IFERROR(AVERAGE(O37,S37,W37),0)</f>
        <v>301.25677419354838</v>
      </c>
      <c r="X40" s="188">
        <f>IFERROR(AVERAGE(P37,T37,X37),0)</f>
        <v>5.2083333333333336E-2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24.110993386243383</v>
      </c>
      <c r="AI40" s="60">
        <f>IFERROR(AVERAGE(AA37,AE37,AI37),0)</f>
        <v>304.82830687830688</v>
      </c>
      <c r="AJ40" s="188">
        <f>IFERROR(AVERAGE(AB37,AF37,AJ37),0)</f>
        <v>2.4826388888888887E-2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23.833437118437118</v>
      </c>
      <c r="AU40" s="60">
        <f>IFERROR(AVERAGE(AM37,AQ37,AU37),0)</f>
        <v>235.83567358567362</v>
      </c>
      <c r="AV40" s="188">
        <f>IFERROR(AVERAGE(AN37,AR37,AV37),0)</f>
        <v>3.3333333333333333E-2</v>
      </c>
      <c r="AW40" s="73"/>
    </row>
    <row r="41" spans="1:49" s="118" customFormat="1" ht="11.25" x14ac:dyDescent="0.2">
      <c r="A41" s="115" t="s">
        <v>225</v>
      </c>
      <c r="B41" s="109">
        <f>RANK(B34,(B34,F34,J34,N34,R34,V34,Z34,AD34,AH34,AL34,AP34,AT34))</f>
        <v>11</v>
      </c>
      <c r="C41" s="110">
        <f>RANK(C34,(C34,G34,K34,O34,S34,W34,AA34,AE34,AI34,AM34,AQ34,AU34))</f>
        <v>12</v>
      </c>
      <c r="D41" s="116">
        <f>RANK(D34,(D34,H34,L34,P34,T34,X34,AB34,AF34,AJ34,AN34,AR34,AV34))</f>
        <v>4</v>
      </c>
      <c r="E41" s="117"/>
      <c r="F41" s="109">
        <f>RANK(F34,(B34,F34,J34,N34,R34,V34,Z34,AD34,AH34,AL34,AP34,AT34))</f>
        <v>10</v>
      </c>
      <c r="G41" s="110">
        <f>RANK(G34,(C34,G34,K34,O34,S34,W34,AA34,AE34,AI34,AM34,AQ34,AU34))</f>
        <v>11</v>
      </c>
      <c r="H41" s="116">
        <f>RANK(H34,(D34,H34,L34,P34,T34,X34,AB34,AF34,AJ34,AN34,AR34,AV34))</f>
        <v>9</v>
      </c>
      <c r="I41" s="117"/>
      <c r="J41" s="109">
        <f>RANK(J34,(B34,F34,J34,N34,R34,V34,Z34,AD34,AH34,AL34,AP34,AT34))</f>
        <v>4</v>
      </c>
      <c r="K41" s="110">
        <f>RANK(K34,(C34,G34,K34,O34,S34,W34,AA34,AE34,AI34,AM34,AQ34,AU34))</f>
        <v>7</v>
      </c>
      <c r="L41" s="116">
        <f>RANK(L34,(D34,H34,L34,P34,T34,X34,AB34,AF34,AJ34,AN34,AR34,AV34))</f>
        <v>10</v>
      </c>
      <c r="M41" s="117"/>
      <c r="N41" s="109">
        <f>RANK(N34,(B34,F34,J34,N34,R34,V34,Z34,AD34,AH34,AL34,AP34,AT34))</f>
        <v>7</v>
      </c>
      <c r="O41" s="110">
        <f>RANK(O34,(C34,G34,K34,O34,S34,W34,AA34,AE34,AI34,AM34,AQ34,AU34))</f>
        <v>5</v>
      </c>
      <c r="P41" s="116">
        <f>RANK(P34,(D34,H34,L34,P34,T34,X34,AB34,AF34,AJ34,AN34,AR34,AV34))</f>
        <v>2</v>
      </c>
      <c r="Q41" s="117"/>
      <c r="R41" s="109">
        <f>RANK(R34,(B34,F34,J34,N34,R34,V34,Z34,AD34,AH34,AL34,AP34,AT34))</f>
        <v>3</v>
      </c>
      <c r="S41" s="110">
        <f>RANK(S34,(C34,G34,K34,O34,S34,W34,AA34,AE34,AI34,AM34,AQ34,AU34))</f>
        <v>3</v>
      </c>
      <c r="T41" s="116">
        <f>RANK(T34,(D34,H34,L34,P34,T34,X34,AB34,AF34,AJ34,AN34,AR34,AV34))</f>
        <v>5</v>
      </c>
      <c r="U41" s="117"/>
      <c r="V41" s="109">
        <f>RANK(V34,(B34,F34,J34,N34,R34,V34,Z34,AD34,AH34,AL34,AP34,AT34))</f>
        <v>2</v>
      </c>
      <c r="W41" s="110">
        <f>RANK(W34,(C34,G34,K34,O34,S34,W34,AA34,AE34,AI34,AM34,AQ34,AU34))</f>
        <v>2</v>
      </c>
      <c r="X41" s="116">
        <f>RANK(X34,(D34,H34,L34,P34,T34,X34,AB34,AF34,AJ34,AN34,AR34,AV34))</f>
        <v>10</v>
      </c>
      <c r="Y41" s="117"/>
      <c r="Z41" s="109">
        <f>RANK(Z34,(B34,F34,J34,N34,R34,V34,Z34,AD34,AH34,AL34,AP34,AT34))</f>
        <v>8</v>
      </c>
      <c r="AA41" s="110">
        <f>RANK(AA34,(C34,G34,K34,O34,S34,W34,AA34,AE34,AI34,AM34,AQ34,AU34))</f>
        <v>4</v>
      </c>
      <c r="AB41" s="116">
        <f>RANK(AB34,(D34,H34,L34,P34,T34,X34,AB34,AF34,AJ34,AN34,AR34,AV34))</f>
        <v>1</v>
      </c>
      <c r="AC41" s="117"/>
      <c r="AD41" s="109">
        <f>RANK(AD34,(B34,F34,J34,N34,R34,V34,Z34,AD34,AH34,AL34,AP34,AT34))</f>
        <v>5</v>
      </c>
      <c r="AE41" s="110">
        <f>RANK(AE34,(C34,G34,K34,O34,S34,W34,AA34,AE34,AI34,AM34,AQ34,AU34))</f>
        <v>1</v>
      </c>
      <c r="AF41" s="116">
        <f>RANK(AF34,(D34,H34,L34,P34,T34,X34,AB34,AF34,AJ34,AN34,AR34,AV34))</f>
        <v>10</v>
      </c>
      <c r="AG41" s="117"/>
      <c r="AH41" s="109">
        <f>RANK(AH34,(B34,F34,J34,N34,R34,V34,Z34,AD34,AH34,AL34,AP34,AT34))</f>
        <v>6</v>
      </c>
      <c r="AI41" s="110">
        <f>RANK(AI34,(C34,G34,K34,O34,S34,W34,AA34,AE34,AI34,AM34,AQ34,AU34))</f>
        <v>8</v>
      </c>
      <c r="AJ41" s="116">
        <f>RANK(AJ34,(D34,H34,L34,P34,T34,X34,AB34,AF34,AJ34,AN34,AR34,AV34))</f>
        <v>7</v>
      </c>
      <c r="AK41" s="117"/>
      <c r="AL41" s="109">
        <f>RANK(AL34,(B34,F34,J34,N34,R34,V34,Z34,AD34,AH34,AL34,AP34,AT34))</f>
        <v>12</v>
      </c>
      <c r="AM41" s="110">
        <f>RANK(AM34,(C34,G34,K34,O34,S34,W34,AA34,AE34,AI34,AM34,AQ34,AU34))</f>
        <v>9</v>
      </c>
      <c r="AN41" s="116">
        <f>RANK(AN34,(D34,H34,L34,P34,T34,X34,AB34,AF34,AJ34,AN34,AR34,AV34))</f>
        <v>6</v>
      </c>
      <c r="AO41" s="117"/>
      <c r="AP41" s="109">
        <f>RANK(AP34,(B34,F34,J34,N34,R34,V34,Z34,AD34,AH34,AL34,AP34,AT34))</f>
        <v>1</v>
      </c>
      <c r="AQ41" s="110">
        <f>RANK(AQ34,(C34,G34,K34,O34,S34,W34,AA34,AE34,AI34,AM34,AQ34,AU34))</f>
        <v>6</v>
      </c>
      <c r="AR41" s="116">
        <f>RANK(AR34,(D34,H34,L34,P34,T34,X34,AB34,AF34,AJ34,AN34,AR34,AV34))</f>
        <v>3</v>
      </c>
      <c r="AS41" s="117"/>
      <c r="AT41" s="109">
        <f>RANK(AT34,(B34,F34,J34,N34,R34,V34,Z34,AD34,AH34,AL34,AP34,AT34))</f>
        <v>9</v>
      </c>
      <c r="AU41" s="110">
        <f>RANK(AU34,(C34,G34,K34,O34,S34,W34,AA34,AE34,AI34,AM34,AQ34,AU34))</f>
        <v>10</v>
      </c>
      <c r="AV41" s="116">
        <f>RANK(AV34,(D34,H34,L34,P34,T34,X34,AB34,AF34,AJ34,AN34,AR34,AV34))</f>
        <v>8</v>
      </c>
      <c r="AW41" s="122"/>
    </row>
    <row r="42" spans="1:49" s="54" customFormat="1" ht="11.25" x14ac:dyDescent="0.2">
      <c r="A42" s="57" t="s">
        <v>218</v>
      </c>
      <c r="B42" s="100">
        <f>T1</f>
        <v>24.369046054229518</v>
      </c>
      <c r="C42" s="101">
        <f>AB1</f>
        <v>263.42805021641044</v>
      </c>
      <c r="D42" s="102"/>
      <c r="E42" s="214" t="s">
        <v>404</v>
      </c>
      <c r="F42" s="215">
        <f>SUM(J23:J33,N3:N33,R3:R33,V3:V33,Z3:Z33,AD3:AD33,AH3:AH23)</f>
        <v>4393.4999999999991</v>
      </c>
      <c r="G42" s="216">
        <f>SUM(K23:K33,O3:O32,S3:S33,W3:W32,AA3:AA33,AE3:AE33,AI3:AI23)</f>
        <v>52811</v>
      </c>
      <c r="H42" s="217"/>
      <c r="I42" s="217"/>
      <c r="J42" s="218">
        <f>IFERROR(F42/(F42+F43),0)</f>
        <v>0.54147887141679263</v>
      </c>
      <c r="K42" s="218">
        <f>IFERROR(G42/(G42+G43),0)</f>
        <v>0.59935537321394117</v>
      </c>
      <c r="L42" s="217"/>
      <c r="M42" s="309" t="s">
        <v>606</v>
      </c>
      <c r="N42" s="307">
        <v>82</v>
      </c>
      <c r="Y42" s="173"/>
      <c r="AK42" s="255" t="s">
        <v>484</v>
      </c>
      <c r="AL42" s="52">
        <f>MAX(B34,F34,J34,N34,R34,V34,Z34,AD34,AH34,AL34,AP34,AT34)</f>
        <v>830.34</v>
      </c>
      <c r="AM42" s="256">
        <f>MAX(C34,G34,K34,O34,S34,W34,AA34,AE34,AI34,AM34,AQ34,AU34)</f>
        <v>11173</v>
      </c>
      <c r="AN42" s="54" t="s">
        <v>351</v>
      </c>
      <c r="AO42" s="253" t="s">
        <v>349</v>
      </c>
      <c r="AP42" s="59">
        <f>R1-'13'!R1</f>
        <v>295.72000000000014</v>
      </c>
      <c r="AQ42" s="91">
        <f>AF1-'13'!AF1</f>
        <v>3342</v>
      </c>
      <c r="AR42" s="54" t="s">
        <v>350</v>
      </c>
      <c r="AS42" s="252" t="s">
        <v>349</v>
      </c>
      <c r="AT42" s="59">
        <f>I1-'13'!I1</f>
        <v>21.389999999999986</v>
      </c>
      <c r="AU42" s="91">
        <f>AN1-'13'!AN1</f>
        <v>-928</v>
      </c>
      <c r="AV42" s="54" t="s">
        <v>351</v>
      </c>
      <c r="AW42" s="73"/>
    </row>
    <row r="43" spans="1:49" s="54" customFormat="1" ht="11.25" x14ac:dyDescent="0.2">
      <c r="A43" s="57" t="s">
        <v>219</v>
      </c>
      <c r="B43" s="100">
        <f>E1/365</f>
        <v>22.229835616438351</v>
      </c>
      <c r="C43" s="101">
        <f>AU1/365</f>
        <v>241.40547945205481</v>
      </c>
      <c r="D43" s="102"/>
      <c r="E43" s="210" t="s">
        <v>405</v>
      </c>
      <c r="F43" s="211">
        <f>E1-F42</f>
        <v>3720.3899999999994</v>
      </c>
      <c r="G43" s="212">
        <f>AU1-G42</f>
        <v>35302</v>
      </c>
      <c r="H43" s="213"/>
      <c r="I43" s="213"/>
      <c r="J43" s="219">
        <f>IFERROR(F43/(F42+F43),0)</f>
        <v>0.45852112858320732</v>
      </c>
      <c r="K43" s="219">
        <f>IFERROR(G43/(G42+G43),0)</f>
        <v>0.40064462678605883</v>
      </c>
      <c r="L43" s="213"/>
      <c r="M43" s="71" t="s">
        <v>607</v>
      </c>
      <c r="N43" s="308">
        <v>4</v>
      </c>
      <c r="Y43" s="73"/>
      <c r="AK43" s="257" t="s">
        <v>487</v>
      </c>
      <c r="AL43" s="228">
        <f>IF($B$1&lt;&gt;0,$AV$35/$B1,0)</f>
        <v>3.9718373534970763E-2</v>
      </c>
      <c r="AO43" s="254" t="s">
        <v>349</v>
      </c>
      <c r="AP43" s="59">
        <f>AV35-'13'!AV35</f>
        <v>47.600000000000023</v>
      </c>
      <c r="AQ43" s="228">
        <f>AL43-'13'!AL43</f>
        <v>1.0495997781785546E-3</v>
      </c>
      <c r="AR43" s="54" t="s">
        <v>208</v>
      </c>
      <c r="AS43" s="252" t="s">
        <v>349</v>
      </c>
      <c r="AT43" s="59">
        <f>B1-'13'!B1</f>
        <v>1001.6199999999972</v>
      </c>
      <c r="AU43" s="91">
        <f>AU1-'13'!AU1</f>
        <v>1061</v>
      </c>
      <c r="AV43" s="54" t="s">
        <v>352</v>
      </c>
      <c r="AW43" s="73"/>
    </row>
  </sheetData>
  <sheetProtection password="CC70" sheet="1" objects="1" scenarios="1"/>
  <mergeCells count="19">
    <mergeCell ref="AU1:AV1"/>
    <mergeCell ref="AH1:AI1"/>
    <mergeCell ref="AJ1:AK1"/>
    <mergeCell ref="AL1:AM1"/>
    <mergeCell ref="AN1:AO1"/>
    <mergeCell ref="AP1:AQ1"/>
    <mergeCell ref="AR1:AS1"/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</mergeCells>
  <conditionalFormatting sqref="B34 F34 J34 N34 R34 V34 Z34 AD34 AH34 AL34 AP34 AT34">
    <cfRule type="cellIs" dxfId="458" priority="65" operator="equal">
      <formula>$R$1</formula>
    </cfRule>
    <cfRule type="cellIs" dxfId="457" priority="66" operator="equal">
      <formula>$M$1</formula>
    </cfRule>
  </conditionalFormatting>
  <conditionalFormatting sqref="C34 G34 K34 O34 S34 W34 AA34 AE34 AI34 AM34 AQ34 AU34">
    <cfRule type="cellIs" dxfId="456" priority="64" operator="equal">
      <formula>$AF$1</formula>
    </cfRule>
    <cfRule type="cellIs" dxfId="455" priority="67" operator="equal">
      <formula>$AJ$1</formula>
    </cfRule>
  </conditionalFormatting>
  <conditionalFormatting sqref="B38:C38 AT42:AU43 AP42:AQ42 F38:G38 J38:K38 N38:O38 R38:S38 V38:W38 Z38:AA38 AD38:AE38 AH38:AI38 AL38:AM38 AP38:AQ38 AT38:AU38">
    <cfRule type="cellIs" dxfId="454" priority="61" operator="lessThan">
      <formula>0</formula>
    </cfRule>
    <cfRule type="cellIs" dxfId="453" priority="62" operator="greaterThanOrEqual">
      <formula>0</formula>
    </cfRule>
  </conditionalFormatting>
  <conditionalFormatting sqref="C38 AU42:AU43 AQ42 G38 K38 O38 S38 W38 AA38 AE38 AI38 AM38 AQ38 AU38">
    <cfRule type="cellIs" dxfId="452" priority="59" operator="lessThan">
      <formula>0</formula>
    </cfRule>
    <cfRule type="cellIs" dxfId="451" priority="60" operator="greaterThanOrEqual">
      <formula>0</formula>
    </cfRule>
  </conditionalFormatting>
  <conditionalFormatting sqref="D38">
    <cfRule type="cellIs" dxfId="450" priority="52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449" priority="51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448" priority="50" operator="equal">
      <formula>MAX($D$34,$H$34,$L$34,$P$34,$T$34,$X$34,$AB$34,$AF$34,$AJ$34,$AN$34,$AR$34,$AV$34)</formula>
    </cfRule>
  </conditionalFormatting>
  <conditionalFormatting sqref="D3:D33 H3:H33 L3:L33 P3:P33 T3:T33 X3:X33 AB3:AB33 AF3:AF33 AJ3:AJ33 AN3:AN33 AR3:AR33 AV3:AV33">
    <cfRule type="cellIs" dxfId="447" priority="47" stopIfTrue="1" operator="between">
      <formula>0</formula>
      <formula>0.0416550925925926</formula>
    </cfRule>
    <cfRule type="cellIs" dxfId="446" priority="48" stopIfTrue="1" operator="between">
      <formula>0.0416666666666667</formula>
      <formula>0.0833217592592593</formula>
    </cfRule>
    <cfRule type="cellIs" dxfId="445" priority="49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444" priority="35" operator="equal">
      <formula>MAX($D$36,$H$36,$L$36,$P$36,$T$36,$X$36,$AB$36,$AF$36,$AJ$36,$AN$36,$AR$36,$AV$36)</formula>
    </cfRule>
  </conditionalFormatting>
  <conditionalFormatting sqref="AP43">
    <cfRule type="cellIs" dxfId="443" priority="33" operator="lessThan">
      <formula>0</formula>
    </cfRule>
    <cfRule type="cellIs" dxfId="442" priority="34" operator="greaterThanOrEqual">
      <formula>0</formula>
    </cfRule>
  </conditionalFormatting>
  <conditionalFormatting sqref="B3:B33 F3:F33 J3:J33 N3:N33 R3:R33 V3:V33 Z3:Z33 AT3:AT33 AH3:AH33 AL3:AL33 AP3:AP33 AD3:AD33">
    <cfRule type="cellIs" dxfId="441" priority="56" stopIfTrue="1" operator="lessThan">
      <formula>50</formula>
    </cfRule>
    <cfRule type="cellIs" dxfId="440" priority="57" stopIfTrue="1" operator="greaterThanOrEqual">
      <formula>100</formula>
    </cfRule>
    <cfRule type="cellIs" dxfId="439" priority="58" operator="greaterThanOrEqual">
      <formula>50</formula>
    </cfRule>
  </conditionalFormatting>
  <conditionalFormatting sqref="C3:C33 G3:G33 K3:K33 O3:O33 S3:S33 W3:W33 AA3:AA33 AU3:AU33 AI3:AI33 AM3:AM33 AQ3:AQ33 AE3:AE33">
    <cfRule type="cellIs" dxfId="438" priority="53" stopIfTrue="1" operator="between">
      <formula>0</formula>
      <formula>749.99</formula>
    </cfRule>
    <cfRule type="cellIs" dxfId="437" priority="54" stopIfTrue="1" operator="greaterThanOrEqual">
      <formula>1500</formula>
    </cfRule>
    <cfRule type="cellIs" dxfId="436" priority="55" operator="greaterThanOrEqual">
      <formula>750</formula>
    </cfRule>
  </conditionalFormatting>
  <conditionalFormatting sqref="AQ43">
    <cfRule type="cellIs" dxfId="435" priority="31" stopIfTrue="1" operator="lessThan">
      <formula>0</formula>
    </cfRule>
    <cfRule type="cellIs" dxfId="434" priority="32" operator="greaterThanOrEqual">
      <formula>0</formula>
    </cfRule>
  </conditionalFormatting>
  <conditionalFormatting sqref="AL42">
    <cfRule type="cellIs" dxfId="433" priority="26" stopIfTrue="1" operator="lessThan">
      <formula>1000</formula>
    </cfRule>
    <cfRule type="cellIs" dxfId="432" priority="27" stopIfTrue="1" operator="lessThan">
      <formula>1100</formula>
    </cfRule>
    <cfRule type="cellIs" dxfId="431" priority="28" stopIfTrue="1" operator="lessThan">
      <formula>9999</formula>
    </cfRule>
  </conditionalFormatting>
  <conditionalFormatting sqref="AM42">
    <cfRule type="cellIs" dxfId="430" priority="23" stopIfTrue="1" operator="lessThan">
      <formula>10000</formula>
    </cfRule>
    <cfRule type="cellIs" dxfId="429" priority="24" stopIfTrue="1" operator="lessThan">
      <formula>13000</formula>
    </cfRule>
    <cfRule type="cellIs" dxfId="428" priority="25" stopIfTrue="1" operator="lessThan">
      <formula>99999</formula>
    </cfRule>
  </conditionalFormatting>
  <conditionalFormatting sqref="AL43">
    <cfRule type="cellIs" dxfId="427" priority="20" stopIfTrue="1" operator="lessThan">
      <formula>0.05</formula>
    </cfRule>
    <cfRule type="cellIs" dxfId="426" priority="21" stopIfTrue="1" operator="lessThan">
      <formula>0.1</formula>
    </cfRule>
    <cfRule type="cellIs" dxfId="425" priority="22" stopIfTrue="1" operator="lessThanOrEqual">
      <formula>1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" operator="equal" id="{BC34499E-0C49-4C6D-9B87-21C3A9493269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6" operator="equal" id="{4444E604-7AB4-4DAC-8EE5-C8BF57DF3D62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46" operator="equal" id="{E9D976F8-4B32-43B2-A0C7-DAE9C2F0C7BB}">
            <xm:f>MAX( '12'!$C$34, '08'!$C$34,'09'!$C$34,'10'!$C$34,$C$34)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45" operator="equal" id="{1F9220ED-F660-4754-8CBD-9A504E81FD47}">
            <xm:f>MAX( '12'!$G$34, '08'!$F$34,'09'!$G$34,'10'!$G$34,$G$34)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44" operator="equal" id="{1A5E4529-CEA9-4314-87E4-5AF042599A19}">
            <xm:f>MAX( '12'!$K$34, '08'!$I$34,'09'!$K$34,'10'!$K$34,$K$34)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43" operator="equal" id="{4E3D6E94-F034-494E-A37F-7F11A0DAFDA2}">
            <xm:f>MAX( '12'!$O$34, '08'!$L$34,'09'!$O$34,'10'!$O$34,$O$34)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42" operator="equal" id="{8FFBFF3F-2A1A-49FE-8C88-01F182DD3F50}">
            <xm:f>MAX( '12'!$S$34, '08'!$O$34,'09'!$S$34,'10'!$S$34,$S$34)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41" operator="equal" id="{0E50BB01-494F-4486-9240-301B9D2F8D42}">
            <xm:f>MAX( '12'!$W$34, '08'!$R$34,'09'!$W$34,'10'!$W$34,$W$34)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40" operator="equal" id="{9C06A041-D036-4264-B630-D50BB82CAB48}">
            <xm:f>MAX( '12'!$AA$34, '08'!$U$34,'09'!$AA$34,'10'!$AA$34,$AA$34)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39" operator="equal" id="{A76E9B8E-56F5-4328-A341-7916BA49F8DA}">
            <xm:f>MAX( '12'!$AE$34, '08'!$X$34,'09'!$AE$34,'10'!$AE$34,$AE$34)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38" operator="equal" id="{F5035847-5563-428F-B3A3-A2681BAF1310}">
            <xm:f>MAX( '12'!$AI$34, '08'!$AA$34,'09'!$AI$34,'13'!$AI$34,$AI$34)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37" operator="equal" id="{3BED7858-FED7-4953-892A-A474E99C56FC}">
            <xm:f>MAX( '12'!$AM$34, '08'!$AD$34,'09'!$AM$34,'10'!$AM$34,'11'!$AM$34,$AM$34)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36" operator="equal" id="{E3468325-47CB-4ECD-B97F-E2DD1B41A8EC}">
            <xm:f>MAX( '12'!$AQ$34, '08'!$AG$34,'09'!$AQ$34,'10'!$AQ$34,$AQ$34)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63" operator="equal" id="{086A04D7-450C-4F2B-9CDD-1FA3D1C0EA7C}">
            <xm:f>MAX( '12'!$AU$34, '08'!$AJ$34,'09'!$AU$34,'10'!$AU$34,$AU$34)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15" operator="equal" id="{A52DD41F-4BD3-4202-94AB-EE67F791FEE3}">
            <xm:f>MAX( '12'!$N$34,'08'!$K$34,'09'!$N$34,'10'!$N$34,'11'!$N$34,$N$34)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30" operator="equal" id="{44E1E3A1-B5AD-4ED9-B611-C491EFF66AD9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19" operator="equal" id="{D8678988-14E2-4399-B6AB-8DEA4BCC6B69}">
            <xm:f>MAX($B$1,'12'!$B$1:$C$1)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18" operator="equal" id="{BA9035E1-5451-45B3-8873-2FE70E81BB23}">
            <xm:f>MAX( '12'!$B$34,'08'!$B$34,'09'!$B$34,'10'!$B$34,'11'!$B$34,$B$34)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17" operator="equal" id="{66C137F1-CED2-43AA-902F-FCD5CAC7CE2D}">
            <xm:f>MAX( '12'!$F$34,'08'!$E$34,'09'!$F$34,'10'!$F$34,'16'!$F$34,$F$34)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16" operator="equal" id="{70DD692A-9321-404D-8485-BFEC4B054FAC}">
            <xm:f>MAX( '12'!$J$34,'08'!$H$34,'09'!$J$34,'10'!$J$34,'11'!$J$34,$J$34)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14" operator="equal" id="{B43B58E6-176C-4FE2-878B-3F31E8B3055F}">
            <xm:f>MAX( '12'!$R$34,'08'!$N$34,'09'!$R$34,'10'!$R$34,'11'!$R$34,$R$34)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13" operator="equal" id="{020E0413-318C-45E0-B8B8-63A7C3CAA861}">
            <xm:f>MAX( '12'!$V$34,'08'!$Q$34,'09'!$V$34,'10'!$V$34,'11'!$V$34,$V$34)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12" operator="equal" id="{02CE70ED-A1EE-4997-B659-EADBA0B8ED2F}">
            <xm:f>MAX( '12'!$Z$34,'08'!$T$34,'09'!$Z$34,'10'!$Z$34,'11'!$Z$34,$Z$34)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1" operator="equal" id="{BFECF6F1-31FB-4CAA-9A57-9E89859F5ECB}">
            <xm:f>MAX( '12'!$AD$34,'08'!$W$34,'09'!$AD$34,'10'!$AD$34,'11'!$AD$34,$AD$34)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10" operator="equal" id="{B66B019E-FDAF-43AB-AA8E-3740906F2BFD}">
            <xm:f>MAX( '12'!$AH$34,'08'!$Z$34,'09'!$AH$34,'10'!$AH$34,'13'!$AH$34,$AH$34)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9" operator="equal" id="{62F7885C-EA57-4FB0-8DD5-5D8B990D5BFE}">
            <xm:f>MAX( '12'!$AL$34,'08'!$AC$34,'09'!$AL$34,'10'!$AL$34,'11'!$AL$34,$AL$34)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8" operator="equal" id="{2B30959E-48BE-4437-A408-189E941E6E4E}">
            <xm:f>MAX( '12'!$AP$34,'08'!$AF$34,'09'!$AP$34,'10'!$AP$34,'11'!$AP$34,$AP$34)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7" operator="equal" id="{4206D59E-0DF5-4972-9DEA-83143CAACD4E}">
            <xm:f>MAX( '15'!$AT$34,$AT$34)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4" operator="equal" id="{3E3B470B-B7C1-4A13-B47F-AD5D72C4D163}">
            <xm:f>MAX($E$1,'12'!$E$1:$F$1)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3" operator="equal" id="{02E03F66-B94D-402C-9687-6940AFFAFCBF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2" operator="equal" id="{968AA8C3-3398-4776-B74E-ED95984F6ED1}">
            <xm:f>stat!$S$5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1" operator="equal" id="{F91AAFDF-7A7A-43C8-8626-DFBCA598083B}">
            <xm:f>stat!$N$12</xm:f>
            <x14:dxf>
              <font>
                <b val="0"/>
                <i/>
              </font>
            </x14:dxf>
          </x14:cfRule>
          <xm:sqref>N42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499984740745262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3" width="5" bestFit="1" customWidth="1"/>
    <col min="4" max="4" width="4.28515625" bestFit="1" customWidth="1"/>
    <col min="5" max="5" width="6.5703125" bestFit="1" customWidth="1"/>
    <col min="6" max="6" width="7" bestFit="1" customWidth="1"/>
    <col min="7" max="7" width="5.7109375" bestFit="1" customWidth="1"/>
    <col min="8" max="8" width="4" bestFit="1" customWidth="1"/>
    <col min="9" max="9" width="3.5703125" bestFit="1" customWidth="1"/>
    <col min="10" max="10" width="7" bestFit="1" customWidth="1"/>
    <col min="11" max="11" width="5.7109375" bestFit="1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.140625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6.5703125" bestFit="1" customWidth="1"/>
    <col min="35" max="35" width="5.8554687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5.7109375" bestFit="1" customWidth="1"/>
    <col min="44" max="44" width="4" bestFit="1" customWidth="1"/>
    <col min="45" max="45" width="3.7109375" bestFit="1" customWidth="1"/>
    <col min="46" max="46" width="7.140625" bestFit="1" customWidth="1"/>
    <col min="47" max="47" width="5.85546875" bestFit="1" customWidth="1"/>
    <col min="48" max="48" width="4" bestFit="1" customWidth="1"/>
    <col min="49" max="49" width="4.5703125" customWidth="1"/>
  </cols>
  <sheetData>
    <row r="1" spans="1:49" s="94" customFormat="1" ht="18" x14ac:dyDescent="0.25">
      <c r="A1" s="96" t="s">
        <v>243</v>
      </c>
      <c r="B1" s="416">
        <f>AT35+AV35</f>
        <v>7883.7899999999991</v>
      </c>
      <c r="C1" s="416"/>
      <c r="D1" s="97" t="s">
        <v>243</v>
      </c>
      <c r="E1" s="417">
        <f>AT35</f>
        <v>7802.9899999999989</v>
      </c>
      <c r="F1" s="417"/>
      <c r="G1" s="418" t="s">
        <v>155</v>
      </c>
      <c r="H1" s="418"/>
      <c r="I1" s="414">
        <f>MAX(B36,F36,J36,N36,R36,V36,Z36,AD36,AH36,AL36,AP36,AT36)</f>
        <v>130</v>
      </c>
      <c r="J1" s="414"/>
      <c r="K1" s="419" t="s">
        <v>163</v>
      </c>
      <c r="L1" s="419"/>
      <c r="M1" s="420">
        <f>MAX(B34,F34,J34,N34,R34,V34,Z34,AD34,AH34,AL34,AP34,AT34)</f>
        <v>1042.1100000000001</v>
      </c>
      <c r="N1" s="420"/>
      <c r="O1" s="413" t="s">
        <v>194</v>
      </c>
      <c r="P1" s="413"/>
      <c r="Q1" s="413"/>
      <c r="R1" s="185">
        <f>MIN(B34,F34,J34,N34,R34,V34,Z34,AD34,AH34,AL34,AP34,AT34)</f>
        <v>360.97</v>
      </c>
      <c r="S1" s="98" t="s">
        <v>211</v>
      </c>
      <c r="T1" s="426">
        <f>IFERROR(AVERAGE(B37,F37,J37,N37,R37,V37,Z37,AD37,AH37,AL37,AP37,AT37),0)</f>
        <v>23.968190715034449</v>
      </c>
      <c r="U1" s="426"/>
      <c r="V1" s="438" t="s">
        <v>745</v>
      </c>
      <c r="W1" s="438"/>
      <c r="X1" s="438"/>
      <c r="Y1" s="438"/>
      <c r="Z1" s="438"/>
      <c r="AA1" s="99" t="s">
        <v>211</v>
      </c>
      <c r="AB1" s="415">
        <f>IFERROR(AVERAGE(C37,G37,K37,O37,S37,W37,AA37,AE37,AI37,AM37,AQ37,AU37),0)</f>
        <v>194.46599282316905</v>
      </c>
      <c r="AC1" s="415"/>
      <c r="AD1" s="425" t="s">
        <v>194</v>
      </c>
      <c r="AE1" s="425"/>
      <c r="AF1" s="428">
        <f>MIN(C34,G34,K34,O34,S34,W34,AA34,AE34,AI34,AM34,AQ34,AU34)</f>
        <v>2662</v>
      </c>
      <c r="AG1" s="428"/>
      <c r="AH1" s="429" t="s">
        <v>163</v>
      </c>
      <c r="AI1" s="429"/>
      <c r="AJ1" s="430">
        <f>MAX(C34,G34,K34,O34,S34,W34,AA34,AE34,AI34,AM34,AQ34,AU34)</f>
        <v>8968</v>
      </c>
      <c r="AK1" s="430"/>
      <c r="AL1" s="432" t="s">
        <v>156</v>
      </c>
      <c r="AM1" s="432"/>
      <c r="AN1" s="431">
        <f>MAX(C36,G36,K36,O36,S36,W36,AA36,AE36,AI36,AM36,AQ36,AU36)</f>
        <v>1535</v>
      </c>
      <c r="AO1" s="431"/>
      <c r="AP1" s="421" t="s">
        <v>366</v>
      </c>
      <c r="AQ1" s="421"/>
      <c r="AR1" s="422">
        <f>MAX(D36,H36,L36,P36,T36,X36,AB36,AF36,AJ36,AN36,AR36,AV36)</f>
        <v>4.4444444444444446E-2</v>
      </c>
      <c r="AS1" s="422"/>
      <c r="AT1" s="95" t="s">
        <v>2</v>
      </c>
      <c r="AU1" s="423">
        <f>AU35</f>
        <v>62750</v>
      </c>
      <c r="AV1" s="424"/>
      <c r="AW1" s="121"/>
    </row>
    <row r="2" spans="1:49" s="58" customFormat="1" ht="11.25" x14ac:dyDescent="0.2">
      <c r="A2" s="64" t="s">
        <v>197</v>
      </c>
      <c r="B2" s="49" t="s">
        <v>243</v>
      </c>
      <c r="C2" s="49" t="s">
        <v>2</v>
      </c>
      <c r="D2" s="49" t="s">
        <v>208</v>
      </c>
      <c r="E2" s="70" t="s">
        <v>198</v>
      </c>
      <c r="F2" s="49" t="s">
        <v>243</v>
      </c>
      <c r="G2" s="49" t="s">
        <v>2</v>
      </c>
      <c r="H2" s="49" t="s">
        <v>208</v>
      </c>
      <c r="I2" s="70" t="s">
        <v>200</v>
      </c>
      <c r="J2" s="49" t="s">
        <v>243</v>
      </c>
      <c r="K2" s="49" t="s">
        <v>2</v>
      </c>
      <c r="L2" s="49" t="s">
        <v>208</v>
      </c>
      <c r="M2" s="70" t="s">
        <v>199</v>
      </c>
      <c r="N2" s="49" t="s">
        <v>243</v>
      </c>
      <c r="O2" s="49" t="s">
        <v>2</v>
      </c>
      <c r="P2" s="49" t="s">
        <v>208</v>
      </c>
      <c r="Q2" s="70" t="s">
        <v>100</v>
      </c>
      <c r="R2" s="49" t="s">
        <v>243</v>
      </c>
      <c r="S2" s="49" t="s">
        <v>2</v>
      </c>
      <c r="T2" s="49" t="s">
        <v>208</v>
      </c>
      <c r="U2" s="70" t="s">
        <v>201</v>
      </c>
      <c r="V2" s="49" t="s">
        <v>243</v>
      </c>
      <c r="W2" s="49" t="s">
        <v>2</v>
      </c>
      <c r="X2" s="49" t="s">
        <v>208</v>
      </c>
      <c r="Y2" s="70" t="s">
        <v>202</v>
      </c>
      <c r="Z2" s="49" t="s">
        <v>243</v>
      </c>
      <c r="AA2" s="49" t="s">
        <v>2</v>
      </c>
      <c r="AB2" s="49" t="s">
        <v>208</v>
      </c>
      <c r="AC2" s="70" t="s">
        <v>203</v>
      </c>
      <c r="AD2" s="49" t="s">
        <v>243</v>
      </c>
      <c r="AE2" s="49" t="s">
        <v>2</v>
      </c>
      <c r="AF2" s="49" t="s">
        <v>208</v>
      </c>
      <c r="AG2" s="70" t="s">
        <v>204</v>
      </c>
      <c r="AH2" s="49" t="s">
        <v>243</v>
      </c>
      <c r="AI2" s="49" t="s">
        <v>2</v>
      </c>
      <c r="AJ2" s="49" t="s">
        <v>208</v>
      </c>
      <c r="AK2" s="70" t="s">
        <v>205</v>
      </c>
      <c r="AL2" s="49" t="s">
        <v>243</v>
      </c>
      <c r="AM2" s="49" t="s">
        <v>2</v>
      </c>
      <c r="AN2" s="49" t="s">
        <v>208</v>
      </c>
      <c r="AO2" s="70" t="s">
        <v>206</v>
      </c>
      <c r="AP2" s="49" t="s">
        <v>243</v>
      </c>
      <c r="AQ2" s="49" t="s">
        <v>2</v>
      </c>
      <c r="AR2" s="49" t="s">
        <v>208</v>
      </c>
      <c r="AS2" s="70" t="s">
        <v>207</v>
      </c>
      <c r="AT2" s="49" t="s">
        <v>243</v>
      </c>
      <c r="AU2" s="49" t="s">
        <v>2</v>
      </c>
      <c r="AV2" s="49" t="s">
        <v>208</v>
      </c>
      <c r="AW2" s="105"/>
    </row>
    <row r="3" spans="1:49" s="54" customFormat="1" ht="11.25" x14ac:dyDescent="0.2">
      <c r="A3" s="86">
        <v>1</v>
      </c>
      <c r="B3" s="59">
        <v>11.39</v>
      </c>
      <c r="C3" s="60">
        <v>67</v>
      </c>
      <c r="D3" s="186"/>
      <c r="E3" s="88">
        <v>1</v>
      </c>
      <c r="F3" s="59">
        <v>15.299999999999999</v>
      </c>
      <c r="G3" s="60">
        <v>78</v>
      </c>
      <c r="H3" s="186"/>
      <c r="I3" s="88">
        <v>1</v>
      </c>
      <c r="J3" s="59">
        <v>17.5</v>
      </c>
      <c r="K3" s="60">
        <v>30</v>
      </c>
      <c r="L3" s="186"/>
      <c r="M3" s="88">
        <v>1</v>
      </c>
      <c r="N3" s="59">
        <v>13</v>
      </c>
      <c r="O3" s="60">
        <v>10</v>
      </c>
      <c r="P3" s="186"/>
      <c r="Q3" s="88">
        <v>1</v>
      </c>
      <c r="R3" s="59">
        <v>26</v>
      </c>
      <c r="S3" s="60">
        <v>60</v>
      </c>
      <c r="T3" s="186"/>
      <c r="U3" s="88">
        <v>1</v>
      </c>
      <c r="V3" s="59"/>
      <c r="W3" s="60"/>
      <c r="X3" s="186"/>
      <c r="Y3" s="88">
        <v>1</v>
      </c>
      <c r="Z3" s="59">
        <v>13</v>
      </c>
      <c r="AA3" s="60">
        <v>40</v>
      </c>
      <c r="AB3" s="186"/>
      <c r="AC3" s="88">
        <v>1</v>
      </c>
      <c r="AD3" s="59">
        <v>28.4</v>
      </c>
      <c r="AE3" s="60">
        <v>400</v>
      </c>
      <c r="AF3" s="186"/>
      <c r="AG3" s="88">
        <v>1</v>
      </c>
      <c r="AH3" s="59">
        <v>14</v>
      </c>
      <c r="AI3" s="60">
        <v>40</v>
      </c>
      <c r="AJ3" s="186"/>
      <c r="AK3" s="88">
        <v>1</v>
      </c>
      <c r="AL3" s="59">
        <v>17</v>
      </c>
      <c r="AM3" s="60">
        <v>30</v>
      </c>
      <c r="AN3" s="186"/>
      <c r="AO3" s="88">
        <v>1</v>
      </c>
      <c r="AP3" s="59">
        <v>62.44</v>
      </c>
      <c r="AQ3" s="60">
        <v>981</v>
      </c>
      <c r="AR3" s="186"/>
      <c r="AS3" s="88">
        <v>1</v>
      </c>
      <c r="AT3" s="59">
        <v>11</v>
      </c>
      <c r="AU3" s="60">
        <v>60</v>
      </c>
      <c r="AV3" s="186"/>
      <c r="AW3" s="73"/>
    </row>
    <row r="4" spans="1:49" s="54" customFormat="1" ht="11.25" x14ac:dyDescent="0.2">
      <c r="A4" s="86">
        <f t="shared" ref="A4:A33" si="0">A3+1</f>
        <v>2</v>
      </c>
      <c r="B4" s="59">
        <v>10.199999999999999</v>
      </c>
      <c r="C4" s="60">
        <v>11</v>
      </c>
      <c r="D4" s="186"/>
      <c r="E4" s="88">
        <f t="shared" ref="E4:E30" si="1">E3+1</f>
        <v>2</v>
      </c>
      <c r="F4" s="59">
        <v>7.7</v>
      </c>
      <c r="G4" s="60">
        <v>35</v>
      </c>
      <c r="H4" s="186"/>
      <c r="I4" s="88">
        <f t="shared" ref="I4:I33" si="2">I3+1</f>
        <v>2</v>
      </c>
      <c r="J4" s="59">
        <v>21.86</v>
      </c>
      <c r="K4" s="60">
        <v>175</v>
      </c>
      <c r="L4" s="186"/>
      <c r="M4" s="88">
        <f t="shared" ref="M4:M32" si="3">M3+1</f>
        <v>2</v>
      </c>
      <c r="N4" s="59"/>
      <c r="O4" s="60"/>
      <c r="P4" s="186"/>
      <c r="Q4" s="88">
        <f t="shared" ref="Q4:Q33" si="4">Q3+1</f>
        <v>2</v>
      </c>
      <c r="R4" s="59">
        <v>65.599999999999994</v>
      </c>
      <c r="S4" s="60">
        <v>130</v>
      </c>
      <c r="T4" s="186"/>
      <c r="U4" s="88">
        <f t="shared" ref="U4:U32" si="5">U3+1</f>
        <v>2</v>
      </c>
      <c r="V4" s="59">
        <v>25.66</v>
      </c>
      <c r="W4" s="60">
        <v>25</v>
      </c>
      <c r="X4" s="186"/>
      <c r="Y4" s="88">
        <f t="shared" ref="Y4:Y33" si="6">Y3+1</f>
        <v>2</v>
      </c>
      <c r="Z4" s="59">
        <v>14</v>
      </c>
      <c r="AA4" s="60">
        <v>40</v>
      </c>
      <c r="AB4" s="186"/>
      <c r="AC4" s="88">
        <f t="shared" ref="AC4:AC33" si="7">AC3+1</f>
        <v>2</v>
      </c>
      <c r="AD4" s="59">
        <v>130</v>
      </c>
      <c r="AE4" s="60">
        <v>260</v>
      </c>
      <c r="AF4" s="186"/>
      <c r="AG4" s="88">
        <f>AG3+1</f>
        <v>2</v>
      </c>
      <c r="AH4" s="59">
        <v>13</v>
      </c>
      <c r="AI4" s="60">
        <v>105</v>
      </c>
      <c r="AJ4" s="186"/>
      <c r="AK4" s="88">
        <f>AK3+1</f>
        <v>2</v>
      </c>
      <c r="AL4" s="59">
        <v>12.55</v>
      </c>
      <c r="AM4" s="60">
        <v>115</v>
      </c>
      <c r="AN4" s="186"/>
      <c r="AO4" s="88">
        <f>AO3+1</f>
        <v>2</v>
      </c>
      <c r="AP4" s="59">
        <v>24.66</v>
      </c>
      <c r="AQ4" s="60">
        <v>25</v>
      </c>
      <c r="AR4" s="186"/>
      <c r="AS4" s="88">
        <f>AS3+1</f>
        <v>2</v>
      </c>
      <c r="AT4" s="59">
        <v>24.89</v>
      </c>
      <c r="AU4" s="60">
        <v>25</v>
      </c>
      <c r="AV4" s="186"/>
      <c r="AW4" s="73"/>
    </row>
    <row r="5" spans="1:49" s="54" customFormat="1" ht="11.25" x14ac:dyDescent="0.2">
      <c r="A5" s="86">
        <f t="shared" si="0"/>
        <v>3</v>
      </c>
      <c r="B5" s="59">
        <v>24.5</v>
      </c>
      <c r="C5" s="60">
        <v>245</v>
      </c>
      <c r="D5" s="186"/>
      <c r="E5" s="88">
        <f t="shared" si="1"/>
        <v>3</v>
      </c>
      <c r="F5" s="59">
        <v>7.5</v>
      </c>
      <c r="G5" s="60">
        <v>30</v>
      </c>
      <c r="H5" s="186"/>
      <c r="I5" s="88">
        <f t="shared" si="2"/>
        <v>3</v>
      </c>
      <c r="J5" s="59">
        <v>12.5</v>
      </c>
      <c r="K5" s="60">
        <v>54</v>
      </c>
      <c r="L5" s="186"/>
      <c r="M5" s="88">
        <f t="shared" si="3"/>
        <v>3</v>
      </c>
      <c r="N5" s="59">
        <v>43.2</v>
      </c>
      <c r="O5" s="60">
        <v>510</v>
      </c>
      <c r="P5" s="186"/>
      <c r="Q5" s="88">
        <f t="shared" si="4"/>
        <v>3</v>
      </c>
      <c r="R5" s="59">
        <v>20.5</v>
      </c>
      <c r="S5" s="60">
        <v>50</v>
      </c>
      <c r="T5" s="186">
        <v>2.0833333333333332E-2</v>
      </c>
      <c r="U5" s="88">
        <f t="shared" si="5"/>
        <v>3</v>
      </c>
      <c r="V5" s="59">
        <v>17.7</v>
      </c>
      <c r="W5" s="60">
        <v>354</v>
      </c>
      <c r="X5" s="186"/>
      <c r="Y5" s="88">
        <f t="shared" si="6"/>
        <v>3</v>
      </c>
      <c r="Z5" s="59">
        <v>23.259999999999998</v>
      </c>
      <c r="AA5" s="60">
        <v>72</v>
      </c>
      <c r="AB5" s="186"/>
      <c r="AC5" s="88">
        <f t="shared" si="7"/>
        <v>3</v>
      </c>
      <c r="AD5" s="59">
        <v>10</v>
      </c>
      <c r="AE5" s="60">
        <v>40</v>
      </c>
      <c r="AF5" s="186"/>
      <c r="AG5" s="88">
        <f t="shared" ref="AG5:AG32" si="8">AG4+1</f>
        <v>3</v>
      </c>
      <c r="AH5" s="59">
        <v>15</v>
      </c>
      <c r="AI5" s="60">
        <v>60</v>
      </c>
      <c r="AJ5" s="186"/>
      <c r="AK5" s="88">
        <f t="shared" ref="AK5:AK33" si="9">AK4+1</f>
        <v>3</v>
      </c>
      <c r="AL5" s="59">
        <v>33.46</v>
      </c>
      <c r="AM5" s="60">
        <v>606</v>
      </c>
      <c r="AN5" s="186"/>
      <c r="AO5" s="88">
        <f t="shared" ref="AO5:AO32" si="10">AO4+1</f>
        <v>3</v>
      </c>
      <c r="AP5" s="59"/>
      <c r="AQ5" s="60"/>
      <c r="AR5" s="186"/>
      <c r="AS5" s="88">
        <f t="shared" ref="AS5:AS33" si="11">AS4+1</f>
        <v>3</v>
      </c>
      <c r="AT5" s="59"/>
      <c r="AU5" s="60"/>
      <c r="AV5" s="186"/>
      <c r="AW5" s="73"/>
    </row>
    <row r="6" spans="1:49" s="54" customFormat="1" ht="11.25" x14ac:dyDescent="0.2">
      <c r="A6" s="86">
        <f t="shared" si="0"/>
        <v>4</v>
      </c>
      <c r="B6" s="59">
        <v>16.100000000000001</v>
      </c>
      <c r="C6" s="60">
        <v>80</v>
      </c>
      <c r="D6" s="186"/>
      <c r="E6" s="88">
        <f t="shared" si="1"/>
        <v>4</v>
      </c>
      <c r="F6" s="59">
        <v>10</v>
      </c>
      <c r="G6" s="60">
        <v>3</v>
      </c>
      <c r="H6" s="186"/>
      <c r="I6" s="88">
        <f t="shared" si="2"/>
        <v>4</v>
      </c>
      <c r="J6" s="59">
        <v>25.299999999999997</v>
      </c>
      <c r="K6" s="60">
        <v>220</v>
      </c>
      <c r="L6" s="186"/>
      <c r="M6" s="88">
        <f t="shared" si="3"/>
        <v>4</v>
      </c>
      <c r="N6" s="59">
        <v>20.2</v>
      </c>
      <c r="O6" s="60">
        <v>45</v>
      </c>
      <c r="P6" s="186">
        <v>4.4444444444444446E-2</v>
      </c>
      <c r="Q6" s="88">
        <f t="shared" si="4"/>
        <v>4</v>
      </c>
      <c r="R6" s="59">
        <v>14.4</v>
      </c>
      <c r="S6" s="60">
        <v>50</v>
      </c>
      <c r="T6" s="186"/>
      <c r="U6" s="88">
        <f t="shared" si="5"/>
        <v>4</v>
      </c>
      <c r="V6" s="59">
        <v>48.3</v>
      </c>
      <c r="W6" s="60">
        <v>625</v>
      </c>
      <c r="X6" s="186"/>
      <c r="Y6" s="88">
        <f t="shared" si="6"/>
        <v>4</v>
      </c>
      <c r="Z6" s="59">
        <v>13.84</v>
      </c>
      <c r="AA6" s="60">
        <v>110</v>
      </c>
      <c r="AB6" s="186"/>
      <c r="AC6" s="88">
        <f t="shared" si="7"/>
        <v>4</v>
      </c>
      <c r="AD6" s="59">
        <v>10.8</v>
      </c>
      <c r="AE6" s="60">
        <v>20</v>
      </c>
      <c r="AF6" s="186"/>
      <c r="AG6" s="88">
        <f t="shared" si="8"/>
        <v>4</v>
      </c>
      <c r="AH6" s="59">
        <v>10.6</v>
      </c>
      <c r="AI6" s="60">
        <v>350</v>
      </c>
      <c r="AJ6" s="186"/>
      <c r="AK6" s="88">
        <f t="shared" si="9"/>
        <v>4</v>
      </c>
      <c r="AL6" s="59">
        <v>10.6</v>
      </c>
      <c r="AM6" s="60">
        <v>20</v>
      </c>
      <c r="AN6" s="186"/>
      <c r="AO6" s="88">
        <f t="shared" si="10"/>
        <v>4</v>
      </c>
      <c r="AP6" s="59">
        <v>11</v>
      </c>
      <c r="AQ6" s="60">
        <v>90</v>
      </c>
      <c r="AR6" s="186"/>
      <c r="AS6" s="88">
        <f t="shared" si="11"/>
        <v>4</v>
      </c>
      <c r="AT6" s="59">
        <v>11.4</v>
      </c>
      <c r="AU6" s="60">
        <v>25</v>
      </c>
      <c r="AV6" s="186"/>
      <c r="AW6" s="73"/>
    </row>
    <row r="7" spans="1:49" s="54" customFormat="1" ht="11.25" x14ac:dyDescent="0.2">
      <c r="A7" s="86">
        <f t="shared" si="0"/>
        <v>5</v>
      </c>
      <c r="B7" s="59">
        <v>10</v>
      </c>
      <c r="C7" s="60">
        <v>70</v>
      </c>
      <c r="D7" s="186"/>
      <c r="E7" s="88">
        <f t="shared" si="1"/>
        <v>5</v>
      </c>
      <c r="F7" s="59">
        <v>6</v>
      </c>
      <c r="G7" s="60">
        <v>30</v>
      </c>
      <c r="H7" s="186"/>
      <c r="I7" s="88">
        <f t="shared" si="2"/>
        <v>5</v>
      </c>
      <c r="J7" s="59"/>
      <c r="K7" s="60"/>
      <c r="L7" s="186"/>
      <c r="M7" s="88">
        <f t="shared" si="3"/>
        <v>5</v>
      </c>
      <c r="N7" s="59">
        <v>50.6</v>
      </c>
      <c r="O7" s="60">
        <v>420</v>
      </c>
      <c r="P7" s="186">
        <v>2.4305555555555556E-2</v>
      </c>
      <c r="Q7" s="88">
        <f t="shared" si="4"/>
        <v>5</v>
      </c>
      <c r="R7" s="59">
        <v>25.32</v>
      </c>
      <c r="S7" s="60">
        <v>26</v>
      </c>
      <c r="T7" s="186"/>
      <c r="U7" s="88">
        <f t="shared" si="5"/>
        <v>5</v>
      </c>
      <c r="V7" s="59">
        <v>13.6</v>
      </c>
      <c r="W7" s="60">
        <v>152</v>
      </c>
      <c r="X7" s="186"/>
      <c r="Y7" s="88">
        <f t="shared" si="6"/>
        <v>5</v>
      </c>
      <c r="Z7" s="59">
        <v>17.149999999999999</v>
      </c>
      <c r="AA7" s="60">
        <v>120</v>
      </c>
      <c r="AB7" s="186"/>
      <c r="AC7" s="88">
        <f t="shared" si="7"/>
        <v>5</v>
      </c>
      <c r="AD7" s="59">
        <v>11.3</v>
      </c>
      <c r="AE7" s="60">
        <v>10</v>
      </c>
      <c r="AF7" s="186"/>
      <c r="AG7" s="88">
        <f t="shared" si="8"/>
        <v>5</v>
      </c>
      <c r="AH7" s="59"/>
      <c r="AI7" s="60"/>
      <c r="AJ7" s="186"/>
      <c r="AK7" s="88">
        <f t="shared" si="9"/>
        <v>5</v>
      </c>
      <c r="AL7" s="59">
        <v>10</v>
      </c>
      <c r="AM7" s="60">
        <v>30</v>
      </c>
      <c r="AN7" s="186"/>
      <c r="AO7" s="88">
        <f t="shared" si="10"/>
        <v>5</v>
      </c>
      <c r="AP7" s="59">
        <v>15.1</v>
      </c>
      <c r="AQ7" s="60">
        <v>50</v>
      </c>
      <c r="AR7" s="186"/>
      <c r="AS7" s="88">
        <f t="shared" si="11"/>
        <v>5</v>
      </c>
      <c r="AT7" s="59">
        <v>23.259999999999998</v>
      </c>
      <c r="AU7" s="60">
        <v>117</v>
      </c>
      <c r="AV7" s="186"/>
      <c r="AW7" s="73"/>
    </row>
    <row r="8" spans="1:49" s="54" customFormat="1" ht="11.25" x14ac:dyDescent="0.2">
      <c r="A8" s="86">
        <f t="shared" si="0"/>
        <v>6</v>
      </c>
      <c r="B8" s="59">
        <v>30.9</v>
      </c>
      <c r="C8" s="60">
        <v>110</v>
      </c>
      <c r="D8" s="186"/>
      <c r="E8" s="88">
        <f t="shared" si="1"/>
        <v>6</v>
      </c>
      <c r="F8" s="59">
        <v>10.6</v>
      </c>
      <c r="G8" s="60">
        <v>185</v>
      </c>
      <c r="H8" s="186"/>
      <c r="I8" s="88">
        <f t="shared" si="2"/>
        <v>6</v>
      </c>
      <c r="J8" s="59"/>
      <c r="K8" s="60"/>
      <c r="L8" s="186"/>
      <c r="M8" s="88">
        <f t="shared" si="3"/>
        <v>6</v>
      </c>
      <c r="N8" s="59">
        <v>54.2</v>
      </c>
      <c r="O8" s="60">
        <v>452</v>
      </c>
      <c r="P8" s="186"/>
      <c r="Q8" s="88">
        <f t="shared" si="4"/>
        <v>6</v>
      </c>
      <c r="R8" s="59">
        <v>12.8</v>
      </c>
      <c r="S8" s="60">
        <v>45</v>
      </c>
      <c r="T8" s="186"/>
      <c r="U8" s="88">
        <f t="shared" si="5"/>
        <v>6</v>
      </c>
      <c r="V8" s="59">
        <v>49.61</v>
      </c>
      <c r="W8" s="60">
        <v>475</v>
      </c>
      <c r="X8" s="186"/>
      <c r="Y8" s="88">
        <f t="shared" si="6"/>
        <v>6</v>
      </c>
      <c r="Z8" s="59">
        <v>15.899999999999999</v>
      </c>
      <c r="AA8" s="60">
        <v>70</v>
      </c>
      <c r="AB8" s="186"/>
      <c r="AC8" s="88">
        <f t="shared" si="7"/>
        <v>6</v>
      </c>
      <c r="AD8" s="59">
        <v>24.66</v>
      </c>
      <c r="AE8" s="60">
        <v>25</v>
      </c>
      <c r="AF8" s="186"/>
      <c r="AG8" s="88">
        <f t="shared" si="8"/>
        <v>6</v>
      </c>
      <c r="AH8" s="59">
        <v>35</v>
      </c>
      <c r="AI8" s="60">
        <v>520</v>
      </c>
      <c r="AJ8" s="186"/>
      <c r="AK8" s="88">
        <f t="shared" si="9"/>
        <v>6</v>
      </c>
      <c r="AL8" s="59">
        <v>13.66</v>
      </c>
      <c r="AM8" s="60">
        <v>100</v>
      </c>
      <c r="AN8" s="186"/>
      <c r="AO8" s="88">
        <f t="shared" si="10"/>
        <v>6</v>
      </c>
      <c r="AP8" s="59">
        <v>11.5</v>
      </c>
      <c r="AQ8" s="60">
        <v>200</v>
      </c>
      <c r="AR8" s="186"/>
      <c r="AS8" s="88">
        <f t="shared" si="11"/>
        <v>6</v>
      </c>
      <c r="AT8" s="59">
        <v>65.899999999999991</v>
      </c>
      <c r="AU8" s="60">
        <v>445</v>
      </c>
      <c r="AV8" s="186"/>
      <c r="AW8" s="73"/>
    </row>
    <row r="9" spans="1:49" s="54" customFormat="1" ht="11.25" x14ac:dyDescent="0.2">
      <c r="A9" s="86">
        <f t="shared" si="0"/>
        <v>7</v>
      </c>
      <c r="B9" s="59">
        <v>17.3</v>
      </c>
      <c r="C9" s="60">
        <v>60</v>
      </c>
      <c r="D9" s="186"/>
      <c r="E9" s="88">
        <f t="shared" si="1"/>
        <v>7</v>
      </c>
      <c r="F9" s="59">
        <v>26.4</v>
      </c>
      <c r="G9" s="60">
        <v>348</v>
      </c>
      <c r="H9" s="186"/>
      <c r="I9" s="88">
        <f t="shared" si="2"/>
        <v>7</v>
      </c>
      <c r="J9" s="59"/>
      <c r="K9" s="60"/>
      <c r="L9" s="186"/>
      <c r="M9" s="88">
        <f t="shared" si="3"/>
        <v>7</v>
      </c>
      <c r="N9" s="59">
        <v>10</v>
      </c>
      <c r="O9" s="60">
        <v>20</v>
      </c>
      <c r="P9" s="186"/>
      <c r="Q9" s="88">
        <f t="shared" si="4"/>
        <v>7</v>
      </c>
      <c r="R9" s="59">
        <v>16.600000000000001</v>
      </c>
      <c r="S9" s="60">
        <v>165</v>
      </c>
      <c r="T9" s="186"/>
      <c r="U9" s="88">
        <f t="shared" si="5"/>
        <v>7</v>
      </c>
      <c r="V9" s="59">
        <v>77.029999999999987</v>
      </c>
      <c r="W9" s="60">
        <v>857</v>
      </c>
      <c r="X9" s="186"/>
      <c r="Y9" s="88">
        <f t="shared" si="6"/>
        <v>7</v>
      </c>
      <c r="Z9" s="59">
        <v>13.02</v>
      </c>
      <c r="AA9" s="60">
        <v>52</v>
      </c>
      <c r="AB9" s="186"/>
      <c r="AC9" s="88">
        <f t="shared" si="7"/>
        <v>7</v>
      </c>
      <c r="AD9" s="59">
        <v>24.650000000000002</v>
      </c>
      <c r="AE9" s="60">
        <v>150</v>
      </c>
      <c r="AF9" s="186"/>
      <c r="AG9" s="88">
        <f t="shared" si="8"/>
        <v>7</v>
      </c>
      <c r="AH9" s="59"/>
      <c r="AI9" s="60"/>
      <c r="AJ9" s="186"/>
      <c r="AK9" s="88">
        <f t="shared" si="9"/>
        <v>7</v>
      </c>
      <c r="AL9" s="59">
        <v>10</v>
      </c>
      <c r="AM9" s="60">
        <v>20</v>
      </c>
      <c r="AN9" s="186"/>
      <c r="AO9" s="88">
        <f t="shared" si="10"/>
        <v>7</v>
      </c>
      <c r="AP9" s="59">
        <v>37.89</v>
      </c>
      <c r="AQ9" s="60">
        <v>355</v>
      </c>
      <c r="AR9" s="186"/>
      <c r="AS9" s="88">
        <f t="shared" si="11"/>
        <v>7</v>
      </c>
      <c r="AT9" s="59">
        <v>10</v>
      </c>
      <c r="AU9" s="60">
        <v>30</v>
      </c>
      <c r="AV9" s="186"/>
      <c r="AW9" s="73"/>
    </row>
    <row r="10" spans="1:49" s="54" customFormat="1" ht="11.25" x14ac:dyDescent="0.2">
      <c r="A10" s="86">
        <f t="shared" si="0"/>
        <v>8</v>
      </c>
      <c r="B10" s="59"/>
      <c r="C10" s="60"/>
      <c r="D10" s="186"/>
      <c r="E10" s="88">
        <f t="shared" si="1"/>
        <v>8</v>
      </c>
      <c r="F10" s="59">
        <v>24.6</v>
      </c>
      <c r="G10" s="60">
        <v>260</v>
      </c>
      <c r="H10" s="186"/>
      <c r="I10" s="88">
        <f t="shared" si="2"/>
        <v>8</v>
      </c>
      <c r="J10" s="59"/>
      <c r="K10" s="60"/>
      <c r="L10" s="186"/>
      <c r="M10" s="88">
        <f t="shared" si="3"/>
        <v>8</v>
      </c>
      <c r="N10" s="59">
        <v>20.66</v>
      </c>
      <c r="O10" s="60">
        <v>163</v>
      </c>
      <c r="P10" s="186"/>
      <c r="Q10" s="88">
        <f t="shared" si="4"/>
        <v>8</v>
      </c>
      <c r="R10" s="59">
        <v>18.68</v>
      </c>
      <c r="S10" s="60">
        <v>102</v>
      </c>
      <c r="T10" s="186"/>
      <c r="U10" s="88">
        <f t="shared" si="5"/>
        <v>8</v>
      </c>
      <c r="V10" s="59">
        <v>10.1</v>
      </c>
      <c r="W10" s="60">
        <v>25</v>
      </c>
      <c r="X10" s="186"/>
      <c r="Y10" s="88">
        <f t="shared" si="6"/>
        <v>8</v>
      </c>
      <c r="Z10" s="59">
        <v>10.3</v>
      </c>
      <c r="AA10" s="60">
        <v>100</v>
      </c>
      <c r="AB10" s="186"/>
      <c r="AC10" s="88">
        <f t="shared" si="7"/>
        <v>8</v>
      </c>
      <c r="AD10" s="59">
        <v>58.26</v>
      </c>
      <c r="AE10" s="60">
        <v>418</v>
      </c>
      <c r="AF10" s="186"/>
      <c r="AG10" s="88">
        <f t="shared" si="8"/>
        <v>8</v>
      </c>
      <c r="AH10" s="59">
        <v>10</v>
      </c>
      <c r="AI10" s="54">
        <v>20</v>
      </c>
      <c r="AJ10" s="186"/>
      <c r="AK10" s="88">
        <f t="shared" si="9"/>
        <v>8</v>
      </c>
      <c r="AL10" s="59">
        <v>10</v>
      </c>
      <c r="AM10" s="60">
        <v>30</v>
      </c>
      <c r="AN10" s="186"/>
      <c r="AO10" s="88">
        <f t="shared" si="10"/>
        <v>8</v>
      </c>
      <c r="AP10" s="59">
        <v>43.6</v>
      </c>
      <c r="AQ10" s="60">
        <v>1030</v>
      </c>
      <c r="AR10" s="186"/>
      <c r="AS10" s="88">
        <f t="shared" si="11"/>
        <v>8</v>
      </c>
      <c r="AT10" s="59">
        <v>13</v>
      </c>
      <c r="AU10" s="60">
        <v>45</v>
      </c>
      <c r="AV10" s="186"/>
      <c r="AW10" s="73"/>
    </row>
    <row r="11" spans="1:49" s="54" customFormat="1" ht="11.25" x14ac:dyDescent="0.2">
      <c r="A11" s="86">
        <f t="shared" si="0"/>
        <v>9</v>
      </c>
      <c r="B11" s="59">
        <v>16.600000000000001</v>
      </c>
      <c r="C11" s="60">
        <v>35</v>
      </c>
      <c r="D11" s="186"/>
      <c r="E11" s="88">
        <f t="shared" si="1"/>
        <v>9</v>
      </c>
      <c r="F11" s="59">
        <v>9</v>
      </c>
      <c r="G11" s="60">
        <v>10</v>
      </c>
      <c r="H11" s="186"/>
      <c r="I11" s="88">
        <f t="shared" si="2"/>
        <v>9</v>
      </c>
      <c r="J11" s="59">
        <v>44.5</v>
      </c>
      <c r="K11" s="60">
        <v>576</v>
      </c>
      <c r="L11" s="186"/>
      <c r="M11" s="88">
        <f t="shared" si="3"/>
        <v>9</v>
      </c>
      <c r="N11" s="59">
        <v>10.960000000000003</v>
      </c>
      <c r="O11" s="60">
        <v>40</v>
      </c>
      <c r="P11" s="186"/>
      <c r="Q11" s="88">
        <f t="shared" si="4"/>
        <v>9</v>
      </c>
      <c r="R11" s="59">
        <v>56</v>
      </c>
      <c r="S11" s="60">
        <v>355</v>
      </c>
      <c r="T11" s="186"/>
      <c r="U11" s="88">
        <f t="shared" si="5"/>
        <v>9</v>
      </c>
      <c r="V11" s="59"/>
      <c r="W11" s="60"/>
      <c r="X11" s="186"/>
      <c r="Y11" s="88">
        <f t="shared" si="6"/>
        <v>9</v>
      </c>
      <c r="Z11" s="59">
        <v>11.5</v>
      </c>
      <c r="AA11" s="60">
        <v>145</v>
      </c>
      <c r="AB11" s="186"/>
      <c r="AC11" s="88">
        <f t="shared" si="7"/>
        <v>9</v>
      </c>
      <c r="AD11" s="59">
        <v>89.5</v>
      </c>
      <c r="AE11" s="60">
        <v>1005</v>
      </c>
      <c r="AF11" s="186"/>
      <c r="AG11" s="88">
        <f t="shared" si="8"/>
        <v>9</v>
      </c>
      <c r="AH11" s="59">
        <v>10</v>
      </c>
      <c r="AI11" s="60">
        <v>40</v>
      </c>
      <c r="AJ11" s="186"/>
      <c r="AK11" s="88">
        <f t="shared" si="9"/>
        <v>9</v>
      </c>
      <c r="AL11" s="59">
        <v>27.06</v>
      </c>
      <c r="AM11" s="60">
        <v>160</v>
      </c>
      <c r="AN11" s="186"/>
      <c r="AO11" s="88">
        <f t="shared" si="10"/>
        <v>9</v>
      </c>
      <c r="AP11" s="59">
        <v>14.5</v>
      </c>
      <c r="AQ11" s="60">
        <v>50</v>
      </c>
      <c r="AR11" s="186"/>
      <c r="AS11" s="88">
        <f t="shared" si="11"/>
        <v>9</v>
      </c>
      <c r="AT11" s="59">
        <v>12</v>
      </c>
      <c r="AU11" s="60">
        <v>35</v>
      </c>
      <c r="AV11" s="186"/>
      <c r="AW11" s="73"/>
    </row>
    <row r="12" spans="1:49" s="54" customFormat="1" ht="11.25" x14ac:dyDescent="0.2">
      <c r="A12" s="86">
        <f t="shared" si="0"/>
        <v>10</v>
      </c>
      <c r="B12" s="59">
        <v>13.5</v>
      </c>
      <c r="C12" s="60">
        <v>80</v>
      </c>
      <c r="D12" s="186"/>
      <c r="E12" s="88">
        <f t="shared" si="1"/>
        <v>10</v>
      </c>
      <c r="F12" s="59">
        <v>10.3</v>
      </c>
      <c r="G12" s="60">
        <v>30</v>
      </c>
      <c r="H12" s="186"/>
      <c r="I12" s="88">
        <f t="shared" si="2"/>
        <v>10</v>
      </c>
      <c r="J12" s="59">
        <v>42</v>
      </c>
      <c r="K12" s="60">
        <v>140</v>
      </c>
      <c r="L12" s="186"/>
      <c r="M12" s="88">
        <f t="shared" si="3"/>
        <v>10</v>
      </c>
      <c r="N12" s="59">
        <v>20</v>
      </c>
      <c r="O12" s="60">
        <v>185</v>
      </c>
      <c r="P12" s="186"/>
      <c r="Q12" s="88">
        <f t="shared" si="4"/>
        <v>10</v>
      </c>
      <c r="R12" s="59">
        <v>100.89999999999999</v>
      </c>
      <c r="S12" s="60">
        <v>245</v>
      </c>
      <c r="T12" s="186"/>
      <c r="U12" s="88">
        <f t="shared" si="5"/>
        <v>10</v>
      </c>
      <c r="V12" s="59">
        <v>23.66</v>
      </c>
      <c r="W12" s="60">
        <v>112</v>
      </c>
      <c r="X12" s="186"/>
      <c r="Y12" s="88">
        <f t="shared" si="6"/>
        <v>10</v>
      </c>
      <c r="Z12" s="59">
        <v>10.3</v>
      </c>
      <c r="AA12" s="60">
        <v>100</v>
      </c>
      <c r="AB12" s="186"/>
      <c r="AC12" s="88">
        <f t="shared" si="7"/>
        <v>10</v>
      </c>
      <c r="AD12" s="59">
        <v>10</v>
      </c>
      <c r="AE12" s="60">
        <v>20</v>
      </c>
      <c r="AF12" s="186"/>
      <c r="AG12" s="88">
        <f t="shared" si="8"/>
        <v>10</v>
      </c>
      <c r="AH12" s="59">
        <v>15</v>
      </c>
      <c r="AI12" s="54">
        <v>60</v>
      </c>
      <c r="AJ12" s="186"/>
      <c r="AK12" s="88">
        <f t="shared" si="9"/>
        <v>10</v>
      </c>
      <c r="AL12" s="59">
        <v>65.12</v>
      </c>
      <c r="AM12" s="60">
        <v>737</v>
      </c>
      <c r="AN12" s="186"/>
      <c r="AO12" s="88">
        <f t="shared" si="10"/>
        <v>10</v>
      </c>
      <c r="AP12" s="59">
        <v>10.5</v>
      </c>
      <c r="AQ12" s="60">
        <v>20</v>
      </c>
      <c r="AR12" s="186"/>
      <c r="AS12" s="88">
        <f t="shared" si="11"/>
        <v>10</v>
      </c>
      <c r="AT12" s="59">
        <v>12</v>
      </c>
      <c r="AU12" s="60">
        <v>40</v>
      </c>
      <c r="AV12" s="186"/>
      <c r="AW12" s="73"/>
    </row>
    <row r="13" spans="1:49" s="54" customFormat="1" ht="11.25" x14ac:dyDescent="0.2">
      <c r="A13" s="86">
        <f t="shared" si="0"/>
        <v>11</v>
      </c>
      <c r="B13" s="59">
        <v>25</v>
      </c>
      <c r="C13" s="60">
        <v>210</v>
      </c>
      <c r="D13" s="186"/>
      <c r="E13" s="88">
        <f t="shared" si="1"/>
        <v>11</v>
      </c>
      <c r="F13" s="59">
        <v>10.1</v>
      </c>
      <c r="G13" s="60">
        <v>15</v>
      </c>
      <c r="H13" s="186"/>
      <c r="I13" s="88">
        <f t="shared" si="2"/>
        <v>11</v>
      </c>
      <c r="J13" s="59">
        <v>15.5</v>
      </c>
      <c r="K13" s="60">
        <v>95</v>
      </c>
      <c r="L13" s="186"/>
      <c r="M13" s="88">
        <f t="shared" si="3"/>
        <v>11</v>
      </c>
      <c r="N13" s="59">
        <v>51.220000000000006</v>
      </c>
      <c r="O13" s="60">
        <v>163</v>
      </c>
      <c r="P13" s="186"/>
      <c r="Q13" s="88">
        <f t="shared" si="4"/>
        <v>11</v>
      </c>
      <c r="R13" s="59">
        <v>18.3</v>
      </c>
      <c r="S13" s="60">
        <v>404</v>
      </c>
      <c r="T13" s="186"/>
      <c r="U13" s="88">
        <f t="shared" si="5"/>
        <v>11</v>
      </c>
      <c r="V13" s="59">
        <v>27.06</v>
      </c>
      <c r="W13" s="60">
        <v>160</v>
      </c>
      <c r="X13" s="186"/>
      <c r="Y13" s="88">
        <f t="shared" si="6"/>
        <v>11</v>
      </c>
      <c r="Z13" s="59">
        <v>58.480000000000004</v>
      </c>
      <c r="AA13" s="60">
        <v>910</v>
      </c>
      <c r="AB13" s="186"/>
      <c r="AC13" s="88">
        <f t="shared" si="7"/>
        <v>11</v>
      </c>
      <c r="AD13" s="59">
        <v>14</v>
      </c>
      <c r="AE13" s="60">
        <v>100</v>
      </c>
      <c r="AF13" s="186"/>
      <c r="AG13" s="88">
        <f t="shared" si="8"/>
        <v>11</v>
      </c>
      <c r="AH13" s="59">
        <v>10.6</v>
      </c>
      <c r="AI13" s="60">
        <v>350</v>
      </c>
      <c r="AJ13" s="186"/>
      <c r="AK13" s="88">
        <f t="shared" si="9"/>
        <v>11</v>
      </c>
      <c r="AL13" s="59">
        <v>0.8</v>
      </c>
      <c r="AM13" s="60">
        <v>2</v>
      </c>
      <c r="AN13" s="186"/>
      <c r="AO13" s="88">
        <f t="shared" si="10"/>
        <v>11</v>
      </c>
      <c r="AP13" s="59">
        <v>11</v>
      </c>
      <c r="AQ13" s="60">
        <v>60</v>
      </c>
      <c r="AR13" s="186"/>
      <c r="AS13" s="88">
        <f t="shared" si="11"/>
        <v>11</v>
      </c>
      <c r="AT13" s="59">
        <v>11</v>
      </c>
      <c r="AU13" s="60">
        <v>30</v>
      </c>
      <c r="AV13" s="186"/>
      <c r="AW13" s="73"/>
    </row>
    <row r="14" spans="1:49" s="54" customFormat="1" ht="11.25" x14ac:dyDescent="0.2">
      <c r="A14" s="86">
        <f t="shared" si="0"/>
        <v>12</v>
      </c>
      <c r="B14" s="59"/>
      <c r="C14" s="60"/>
      <c r="D14" s="186"/>
      <c r="E14" s="88">
        <f t="shared" si="1"/>
        <v>12</v>
      </c>
      <c r="F14" s="59">
        <v>11.1</v>
      </c>
      <c r="G14" s="60">
        <v>30</v>
      </c>
      <c r="H14" s="186"/>
      <c r="I14" s="88">
        <f t="shared" si="2"/>
        <v>12</v>
      </c>
      <c r="J14" s="59">
        <v>14.3</v>
      </c>
      <c r="K14" s="60">
        <v>160</v>
      </c>
      <c r="L14" s="186"/>
      <c r="M14" s="88">
        <f t="shared" si="3"/>
        <v>12</v>
      </c>
      <c r="N14" s="59">
        <v>50</v>
      </c>
      <c r="O14" s="60">
        <v>350</v>
      </c>
      <c r="P14" s="186"/>
      <c r="Q14" s="88">
        <f t="shared" si="4"/>
        <v>12</v>
      </c>
      <c r="R14" s="59">
        <v>14.219999999999999</v>
      </c>
      <c r="S14" s="60">
        <v>90</v>
      </c>
      <c r="T14" s="186"/>
      <c r="U14" s="88">
        <f t="shared" si="5"/>
        <v>12</v>
      </c>
      <c r="V14" s="59">
        <v>17.5</v>
      </c>
      <c r="W14" s="60">
        <v>350</v>
      </c>
      <c r="X14" s="186"/>
      <c r="Y14" s="88">
        <f t="shared" si="6"/>
        <v>12</v>
      </c>
      <c r="Z14" s="59">
        <v>70.62</v>
      </c>
      <c r="AA14" s="60">
        <v>948</v>
      </c>
      <c r="AB14" s="186"/>
      <c r="AC14" s="88">
        <f t="shared" si="7"/>
        <v>12</v>
      </c>
      <c r="AD14" s="59">
        <v>17.149999999999999</v>
      </c>
      <c r="AE14" s="91">
        <v>57</v>
      </c>
      <c r="AF14" s="186"/>
      <c r="AG14" s="88">
        <f t="shared" si="8"/>
        <v>12</v>
      </c>
      <c r="AH14" s="59">
        <v>50.6</v>
      </c>
      <c r="AI14" s="60">
        <v>455</v>
      </c>
      <c r="AJ14" s="186"/>
      <c r="AK14" s="88">
        <f t="shared" si="9"/>
        <v>12</v>
      </c>
      <c r="AL14" s="59">
        <v>17.27</v>
      </c>
      <c r="AM14" s="60">
        <v>97</v>
      </c>
      <c r="AN14" s="186"/>
      <c r="AO14" s="88">
        <f t="shared" si="10"/>
        <v>12</v>
      </c>
      <c r="AP14" s="59">
        <v>19.2</v>
      </c>
      <c r="AQ14" s="60">
        <v>64</v>
      </c>
      <c r="AR14" s="186"/>
      <c r="AS14" s="88">
        <f t="shared" si="11"/>
        <v>12</v>
      </c>
      <c r="AT14" s="59">
        <v>14</v>
      </c>
      <c r="AU14" s="60">
        <v>35</v>
      </c>
      <c r="AV14" s="186"/>
      <c r="AW14" s="73"/>
    </row>
    <row r="15" spans="1:49" s="54" customFormat="1" ht="11.25" x14ac:dyDescent="0.2">
      <c r="A15" s="86">
        <f t="shared" si="0"/>
        <v>13</v>
      </c>
      <c r="B15" s="59"/>
      <c r="C15" s="60"/>
      <c r="D15" s="186"/>
      <c r="E15" s="88">
        <f t="shared" si="1"/>
        <v>13</v>
      </c>
      <c r="F15" s="59">
        <v>10.1</v>
      </c>
      <c r="G15" s="60">
        <v>30</v>
      </c>
      <c r="H15" s="186"/>
      <c r="I15" s="88">
        <f t="shared" si="2"/>
        <v>13</v>
      </c>
      <c r="J15" s="59">
        <v>6.4</v>
      </c>
      <c r="K15" s="60">
        <v>15</v>
      </c>
      <c r="L15" s="186"/>
      <c r="M15" s="88">
        <f t="shared" si="3"/>
        <v>13</v>
      </c>
      <c r="N15" s="59"/>
      <c r="O15" s="60"/>
      <c r="P15" s="186"/>
      <c r="Q15" s="88">
        <f t="shared" si="4"/>
        <v>13</v>
      </c>
      <c r="R15" s="59">
        <v>10.7</v>
      </c>
      <c r="S15" s="60">
        <v>80</v>
      </c>
      <c r="T15" s="186"/>
      <c r="U15" s="88">
        <f t="shared" si="5"/>
        <v>13</v>
      </c>
      <c r="V15" s="59">
        <v>40.159999999999997</v>
      </c>
      <c r="W15" s="60">
        <v>232</v>
      </c>
      <c r="X15" s="186"/>
      <c r="Y15" s="88">
        <f t="shared" si="6"/>
        <v>13</v>
      </c>
      <c r="Z15" s="59">
        <v>11</v>
      </c>
      <c r="AA15" s="60">
        <v>5</v>
      </c>
      <c r="AB15" s="186"/>
      <c r="AC15" s="88">
        <f t="shared" si="7"/>
        <v>13</v>
      </c>
      <c r="AD15" s="59">
        <v>16.48</v>
      </c>
      <c r="AE15" s="60">
        <v>55</v>
      </c>
      <c r="AF15" s="186"/>
      <c r="AG15" s="88">
        <f t="shared" si="8"/>
        <v>13</v>
      </c>
      <c r="AH15" s="59">
        <v>15</v>
      </c>
      <c r="AI15" s="60">
        <v>90</v>
      </c>
      <c r="AJ15" s="186"/>
      <c r="AK15" s="88">
        <f t="shared" si="9"/>
        <v>13</v>
      </c>
      <c r="AL15" s="59">
        <v>1.5</v>
      </c>
      <c r="AM15" s="60">
        <v>5</v>
      </c>
      <c r="AN15" s="186"/>
      <c r="AO15" s="88">
        <f t="shared" si="10"/>
        <v>13</v>
      </c>
      <c r="AP15" s="59">
        <v>53.75</v>
      </c>
      <c r="AQ15" s="60">
        <v>647</v>
      </c>
      <c r="AR15" s="186"/>
      <c r="AS15" s="88">
        <f t="shared" si="11"/>
        <v>13</v>
      </c>
      <c r="AT15" s="59">
        <v>31</v>
      </c>
      <c r="AU15" s="60">
        <v>154</v>
      </c>
      <c r="AV15" s="186"/>
      <c r="AW15" s="73"/>
    </row>
    <row r="16" spans="1:49" s="54" customFormat="1" ht="11.25" x14ac:dyDescent="0.2">
      <c r="A16" s="86">
        <f t="shared" si="0"/>
        <v>14</v>
      </c>
      <c r="B16" s="59"/>
      <c r="C16" s="60"/>
      <c r="D16" s="186"/>
      <c r="E16" s="88">
        <f t="shared" si="1"/>
        <v>14</v>
      </c>
      <c r="F16" s="59">
        <v>17.3</v>
      </c>
      <c r="G16" s="60">
        <v>305</v>
      </c>
      <c r="H16" s="186"/>
      <c r="I16" s="88">
        <f t="shared" si="2"/>
        <v>14</v>
      </c>
      <c r="J16" s="59"/>
      <c r="K16" s="60"/>
      <c r="L16" s="186"/>
      <c r="M16" s="88">
        <f t="shared" si="3"/>
        <v>14</v>
      </c>
      <c r="N16" s="59"/>
      <c r="O16" s="60"/>
      <c r="P16" s="186"/>
      <c r="Q16" s="88">
        <f t="shared" si="4"/>
        <v>14</v>
      </c>
      <c r="R16" s="59">
        <v>121.18</v>
      </c>
      <c r="S16" s="54">
        <v>1535</v>
      </c>
      <c r="T16" s="186"/>
      <c r="U16" s="88">
        <f t="shared" si="5"/>
        <v>14</v>
      </c>
      <c r="V16" s="59">
        <v>18.600000000000001</v>
      </c>
      <c r="W16" s="60">
        <v>135</v>
      </c>
      <c r="X16" s="186"/>
      <c r="Y16" s="88">
        <f t="shared" si="6"/>
        <v>14</v>
      </c>
      <c r="Z16" s="59">
        <v>10</v>
      </c>
      <c r="AA16" s="60">
        <v>20</v>
      </c>
      <c r="AB16" s="186"/>
      <c r="AC16" s="88">
        <f t="shared" si="7"/>
        <v>14</v>
      </c>
      <c r="AD16" s="59">
        <v>16.399999999999999</v>
      </c>
      <c r="AE16" s="60">
        <v>50</v>
      </c>
      <c r="AF16" s="186"/>
      <c r="AG16" s="88">
        <f t="shared" si="8"/>
        <v>14</v>
      </c>
      <c r="AH16" s="59">
        <v>24.66</v>
      </c>
      <c r="AI16" s="60">
        <v>25</v>
      </c>
      <c r="AJ16" s="186"/>
      <c r="AK16" s="88">
        <f t="shared" si="9"/>
        <v>14</v>
      </c>
      <c r="AL16" s="59">
        <v>19</v>
      </c>
      <c r="AM16" s="60">
        <v>30</v>
      </c>
      <c r="AN16" s="186"/>
      <c r="AO16" s="88">
        <f t="shared" si="10"/>
        <v>14</v>
      </c>
      <c r="AP16" s="59">
        <v>43.6</v>
      </c>
      <c r="AQ16" s="60">
        <v>1030</v>
      </c>
      <c r="AR16" s="186"/>
      <c r="AS16" s="88">
        <f t="shared" si="11"/>
        <v>14</v>
      </c>
      <c r="AT16" s="59">
        <v>15.5</v>
      </c>
      <c r="AU16" s="60">
        <v>60</v>
      </c>
      <c r="AV16" s="186"/>
      <c r="AW16" s="73"/>
    </row>
    <row r="17" spans="1:49" s="54" customFormat="1" ht="11.25" x14ac:dyDescent="0.2">
      <c r="A17" s="86">
        <f t="shared" si="0"/>
        <v>15</v>
      </c>
      <c r="B17" s="59">
        <v>19</v>
      </c>
      <c r="C17" s="60">
        <v>400</v>
      </c>
      <c r="D17" s="186"/>
      <c r="E17" s="88">
        <f t="shared" si="1"/>
        <v>15</v>
      </c>
      <c r="F17" s="59">
        <v>20.399999999999999</v>
      </c>
      <c r="G17" s="60">
        <v>140</v>
      </c>
      <c r="H17" s="186">
        <v>2.7777777777777776E-2</v>
      </c>
      <c r="I17" s="88">
        <f t="shared" si="2"/>
        <v>15</v>
      </c>
      <c r="J17" s="59">
        <v>10</v>
      </c>
      <c r="K17" s="60">
        <v>5</v>
      </c>
      <c r="L17" s="186"/>
      <c r="M17" s="88">
        <f t="shared" si="3"/>
        <v>15</v>
      </c>
      <c r="N17" s="59">
        <v>12.46</v>
      </c>
      <c r="O17" s="60">
        <v>351</v>
      </c>
      <c r="P17" s="186"/>
      <c r="Q17" s="88">
        <f t="shared" si="4"/>
        <v>15</v>
      </c>
      <c r="R17" s="59">
        <v>16.100000000000001</v>
      </c>
      <c r="S17" s="54">
        <v>160</v>
      </c>
      <c r="T17" s="186"/>
      <c r="U17" s="88">
        <f t="shared" si="5"/>
        <v>15</v>
      </c>
      <c r="V17" s="59">
        <v>52.55</v>
      </c>
      <c r="W17" s="60">
        <v>300</v>
      </c>
      <c r="X17" s="186"/>
      <c r="Y17" s="88">
        <f t="shared" si="6"/>
        <v>15</v>
      </c>
      <c r="Z17" s="59">
        <v>10</v>
      </c>
      <c r="AA17" s="60">
        <v>20</v>
      </c>
      <c r="AB17" s="186"/>
      <c r="AC17" s="88">
        <f t="shared" si="7"/>
        <v>15</v>
      </c>
      <c r="AD17" s="59">
        <v>34.75</v>
      </c>
      <c r="AE17" s="60">
        <v>520</v>
      </c>
      <c r="AF17" s="186"/>
      <c r="AG17" s="88">
        <f t="shared" si="8"/>
        <v>15</v>
      </c>
      <c r="AH17" s="59"/>
      <c r="AI17" s="60"/>
      <c r="AJ17" s="186"/>
      <c r="AK17" s="88">
        <f t="shared" si="9"/>
        <v>15</v>
      </c>
      <c r="AL17" s="59">
        <v>18</v>
      </c>
      <c r="AM17" s="60">
        <v>30</v>
      </c>
      <c r="AN17" s="186"/>
      <c r="AO17" s="88">
        <f t="shared" si="10"/>
        <v>15</v>
      </c>
      <c r="AP17" s="59">
        <v>10</v>
      </c>
      <c r="AQ17" s="60">
        <v>30</v>
      </c>
      <c r="AR17" s="186"/>
      <c r="AS17" s="88">
        <f t="shared" si="11"/>
        <v>15</v>
      </c>
      <c r="AT17" s="59"/>
      <c r="AU17" s="60"/>
      <c r="AV17" s="186"/>
      <c r="AW17" s="73"/>
    </row>
    <row r="18" spans="1:49" s="54" customFormat="1" ht="11.25" x14ac:dyDescent="0.2">
      <c r="A18" s="86">
        <f t="shared" si="0"/>
        <v>16</v>
      </c>
      <c r="B18" s="59">
        <v>15.6</v>
      </c>
      <c r="C18" s="60">
        <v>600</v>
      </c>
      <c r="D18" s="186"/>
      <c r="E18" s="88">
        <f t="shared" si="1"/>
        <v>16</v>
      </c>
      <c r="F18" s="59">
        <v>13.96</v>
      </c>
      <c r="G18" s="60">
        <v>140</v>
      </c>
      <c r="H18" s="186"/>
      <c r="I18" s="88">
        <f t="shared" si="2"/>
        <v>16</v>
      </c>
      <c r="J18" s="59">
        <v>23</v>
      </c>
      <c r="K18" s="60">
        <v>105</v>
      </c>
      <c r="L18" s="186"/>
      <c r="M18" s="88">
        <f t="shared" si="3"/>
        <v>16</v>
      </c>
      <c r="N18" s="59">
        <v>12.46</v>
      </c>
      <c r="O18" s="60">
        <v>351</v>
      </c>
      <c r="P18" s="186"/>
      <c r="Q18" s="88">
        <f t="shared" si="4"/>
        <v>16</v>
      </c>
      <c r="R18" s="59">
        <v>65.599999999999994</v>
      </c>
      <c r="S18" s="60">
        <v>1014</v>
      </c>
      <c r="T18" s="186"/>
      <c r="U18" s="88">
        <f t="shared" si="5"/>
        <v>16</v>
      </c>
      <c r="V18" s="59">
        <v>65</v>
      </c>
      <c r="W18" s="60">
        <v>170</v>
      </c>
      <c r="X18" s="186"/>
      <c r="Y18" s="88">
        <f t="shared" si="6"/>
        <v>16</v>
      </c>
      <c r="Z18" s="59">
        <v>10</v>
      </c>
      <c r="AA18" s="60">
        <v>20</v>
      </c>
      <c r="AB18" s="186"/>
      <c r="AC18" s="88">
        <f t="shared" si="7"/>
        <v>16</v>
      </c>
      <c r="AD18" s="59"/>
      <c r="AE18" s="60"/>
      <c r="AF18" s="186"/>
      <c r="AG18" s="88">
        <f t="shared" si="8"/>
        <v>16</v>
      </c>
      <c r="AH18" s="59"/>
      <c r="AI18" s="60"/>
      <c r="AJ18" s="186"/>
      <c r="AK18" s="88">
        <f t="shared" si="9"/>
        <v>16</v>
      </c>
      <c r="AL18" s="59">
        <v>17</v>
      </c>
      <c r="AM18" s="60">
        <v>30</v>
      </c>
      <c r="AN18" s="186"/>
      <c r="AO18" s="88">
        <f t="shared" si="10"/>
        <v>16</v>
      </c>
      <c r="AP18" s="59">
        <v>10.350000000000001</v>
      </c>
      <c r="AQ18" s="60">
        <v>32</v>
      </c>
      <c r="AR18" s="186"/>
      <c r="AS18" s="88">
        <f t="shared" si="11"/>
        <v>16</v>
      </c>
      <c r="AT18" s="59">
        <v>11</v>
      </c>
      <c r="AU18" s="60">
        <v>30</v>
      </c>
      <c r="AV18" s="186"/>
      <c r="AW18" s="73"/>
    </row>
    <row r="19" spans="1:49" s="54" customFormat="1" ht="11.25" x14ac:dyDescent="0.2">
      <c r="A19" s="86">
        <f t="shared" si="0"/>
        <v>17</v>
      </c>
      <c r="B19" s="59">
        <v>30</v>
      </c>
      <c r="C19" s="60">
        <v>830</v>
      </c>
      <c r="D19" s="186"/>
      <c r="E19" s="88">
        <f t="shared" si="1"/>
        <v>17</v>
      </c>
      <c r="F19" s="59">
        <v>8.26</v>
      </c>
      <c r="G19" s="60">
        <v>70</v>
      </c>
      <c r="H19" s="186"/>
      <c r="I19" s="88">
        <f t="shared" si="2"/>
        <v>17</v>
      </c>
      <c r="J19" s="59">
        <v>12.65</v>
      </c>
      <c r="K19" s="60">
        <v>80</v>
      </c>
      <c r="L19" s="186"/>
      <c r="M19" s="88">
        <f t="shared" si="3"/>
        <v>17</v>
      </c>
      <c r="N19" s="59">
        <v>21.3</v>
      </c>
      <c r="O19" s="60">
        <v>65</v>
      </c>
      <c r="P19" s="186"/>
      <c r="Q19" s="88">
        <f t="shared" si="4"/>
        <v>17</v>
      </c>
      <c r="R19" s="59">
        <v>26.9</v>
      </c>
      <c r="S19" s="60">
        <v>482</v>
      </c>
      <c r="T19" s="186"/>
      <c r="U19" s="88">
        <f t="shared" si="5"/>
        <v>17</v>
      </c>
      <c r="V19" s="59">
        <v>30.36</v>
      </c>
      <c r="W19" s="60">
        <v>422</v>
      </c>
      <c r="X19" s="186"/>
      <c r="Y19" s="88">
        <f t="shared" si="6"/>
        <v>17</v>
      </c>
      <c r="Z19" s="59">
        <v>16.259999999999998</v>
      </c>
      <c r="AA19" s="60">
        <v>72</v>
      </c>
      <c r="AB19" s="186"/>
      <c r="AC19" s="88">
        <f t="shared" si="7"/>
        <v>17</v>
      </c>
      <c r="AD19" s="59"/>
      <c r="AE19" s="60"/>
      <c r="AF19" s="186"/>
      <c r="AG19" s="88">
        <f t="shared" si="8"/>
        <v>17</v>
      </c>
      <c r="AH19" s="59">
        <v>19.2</v>
      </c>
      <c r="AI19" s="60">
        <v>20</v>
      </c>
      <c r="AJ19" s="186"/>
      <c r="AK19" s="88">
        <f t="shared" si="9"/>
        <v>17</v>
      </c>
      <c r="AL19" s="59">
        <v>53.4</v>
      </c>
      <c r="AM19" s="60">
        <v>110</v>
      </c>
      <c r="AN19" s="186"/>
      <c r="AO19" s="88">
        <f t="shared" si="10"/>
        <v>17</v>
      </c>
      <c r="AP19" s="59">
        <v>11</v>
      </c>
      <c r="AQ19" s="60">
        <v>30</v>
      </c>
      <c r="AR19" s="186"/>
      <c r="AS19" s="88">
        <f t="shared" si="11"/>
        <v>17</v>
      </c>
      <c r="AT19" s="59"/>
      <c r="AU19" s="60"/>
      <c r="AV19" s="186"/>
      <c r="AW19" s="73"/>
    </row>
    <row r="20" spans="1:49" s="54" customFormat="1" ht="11.25" x14ac:dyDescent="0.2">
      <c r="A20" s="86">
        <f t="shared" si="0"/>
        <v>18</v>
      </c>
      <c r="B20" s="59">
        <v>21</v>
      </c>
      <c r="C20" s="60">
        <v>540</v>
      </c>
      <c r="D20" s="186"/>
      <c r="E20" s="88">
        <f t="shared" si="1"/>
        <v>18</v>
      </c>
      <c r="F20" s="59"/>
      <c r="G20" s="60"/>
      <c r="H20" s="186"/>
      <c r="I20" s="88">
        <f t="shared" si="2"/>
        <v>18</v>
      </c>
      <c r="J20" s="59">
        <v>70.38</v>
      </c>
      <c r="K20" s="60">
        <v>820</v>
      </c>
      <c r="L20" s="186"/>
      <c r="M20" s="88">
        <f t="shared" si="3"/>
        <v>18</v>
      </c>
      <c r="N20" s="59">
        <v>64.539999999999992</v>
      </c>
      <c r="O20" s="60">
        <v>449</v>
      </c>
      <c r="P20" s="186"/>
      <c r="Q20" s="88">
        <f t="shared" si="4"/>
        <v>18</v>
      </c>
      <c r="R20" s="59">
        <v>16.100000000000001</v>
      </c>
      <c r="S20" s="60">
        <v>160</v>
      </c>
      <c r="T20" s="186"/>
      <c r="U20" s="88">
        <f t="shared" si="5"/>
        <v>18</v>
      </c>
      <c r="V20" s="59">
        <v>24.66</v>
      </c>
      <c r="W20" s="60">
        <v>25</v>
      </c>
      <c r="X20" s="186"/>
      <c r="Y20" s="88">
        <f t="shared" si="6"/>
        <v>18</v>
      </c>
      <c r="Z20" s="59">
        <v>55.01</v>
      </c>
      <c r="AA20" s="60">
        <v>462</v>
      </c>
      <c r="AB20" s="186"/>
      <c r="AC20" s="88">
        <f t="shared" si="7"/>
        <v>18</v>
      </c>
      <c r="AD20" s="59"/>
      <c r="AE20" s="60"/>
      <c r="AF20" s="186"/>
      <c r="AG20" s="88">
        <f t="shared" si="8"/>
        <v>18</v>
      </c>
      <c r="AH20" s="59">
        <v>10</v>
      </c>
      <c r="AI20" s="60">
        <v>40</v>
      </c>
      <c r="AJ20" s="186"/>
      <c r="AK20" s="88">
        <f t="shared" si="9"/>
        <v>18</v>
      </c>
      <c r="AL20" s="59">
        <v>18.3</v>
      </c>
      <c r="AM20" s="60">
        <v>75</v>
      </c>
      <c r="AN20" s="186"/>
      <c r="AO20" s="88">
        <f t="shared" si="10"/>
        <v>18</v>
      </c>
      <c r="AP20" s="59"/>
      <c r="AQ20" s="60"/>
      <c r="AR20" s="186"/>
      <c r="AS20" s="88">
        <f t="shared" si="11"/>
        <v>18</v>
      </c>
      <c r="AT20" s="59">
        <v>11.4</v>
      </c>
      <c r="AU20" s="60">
        <v>40</v>
      </c>
      <c r="AV20" s="186"/>
      <c r="AW20" s="73"/>
    </row>
    <row r="21" spans="1:49" s="54" customFormat="1" ht="11.25" x14ac:dyDescent="0.2">
      <c r="A21" s="86">
        <f t="shared" si="0"/>
        <v>19</v>
      </c>
      <c r="B21" s="59">
        <v>13.5</v>
      </c>
      <c r="C21" s="60">
        <v>680</v>
      </c>
      <c r="D21" s="186"/>
      <c r="E21" s="88">
        <f t="shared" si="1"/>
        <v>19</v>
      </c>
      <c r="F21" s="59">
        <v>12</v>
      </c>
      <c r="G21" s="60">
        <v>20</v>
      </c>
      <c r="H21" s="186"/>
      <c r="I21" s="88">
        <f t="shared" si="2"/>
        <v>19</v>
      </c>
      <c r="J21" s="59">
        <v>10</v>
      </c>
      <c r="K21" s="60">
        <v>30</v>
      </c>
      <c r="L21" s="186"/>
      <c r="M21" s="88">
        <f t="shared" si="3"/>
        <v>19</v>
      </c>
      <c r="N21" s="59">
        <v>52.99</v>
      </c>
      <c r="O21" s="60">
        <v>1236</v>
      </c>
      <c r="P21" s="186"/>
      <c r="Q21" s="88">
        <f t="shared" si="4"/>
        <v>19</v>
      </c>
      <c r="R21" s="59">
        <v>10.6</v>
      </c>
      <c r="S21" s="60">
        <v>25</v>
      </c>
      <c r="T21" s="186"/>
      <c r="U21" s="88">
        <f t="shared" si="5"/>
        <v>19</v>
      </c>
      <c r="V21" s="59">
        <v>43.9</v>
      </c>
      <c r="W21" s="60">
        <v>300</v>
      </c>
      <c r="X21" s="186"/>
      <c r="Y21" s="88">
        <f t="shared" si="6"/>
        <v>19</v>
      </c>
      <c r="Z21" s="59">
        <v>27.3</v>
      </c>
      <c r="AA21" s="60">
        <v>460</v>
      </c>
      <c r="AB21" s="186"/>
      <c r="AC21" s="88">
        <f t="shared" si="7"/>
        <v>19</v>
      </c>
      <c r="AD21" s="59"/>
      <c r="AE21" s="60"/>
      <c r="AF21" s="186"/>
      <c r="AG21" s="88">
        <f t="shared" si="8"/>
        <v>19</v>
      </c>
      <c r="AH21" s="59">
        <v>25</v>
      </c>
      <c r="AI21" s="60">
        <v>25</v>
      </c>
      <c r="AJ21" s="186"/>
      <c r="AK21" s="88">
        <f t="shared" si="9"/>
        <v>19</v>
      </c>
      <c r="AL21" s="59">
        <v>17</v>
      </c>
      <c r="AM21" s="60">
        <v>30</v>
      </c>
      <c r="AN21" s="186"/>
      <c r="AO21" s="88">
        <f t="shared" si="10"/>
        <v>19</v>
      </c>
      <c r="AP21" s="59">
        <v>9</v>
      </c>
      <c r="AQ21" s="60">
        <v>5</v>
      </c>
      <c r="AR21" s="186"/>
      <c r="AS21" s="88">
        <f t="shared" si="11"/>
        <v>19</v>
      </c>
      <c r="AT21" s="59">
        <v>58.72</v>
      </c>
      <c r="AU21" s="60">
        <v>718</v>
      </c>
      <c r="AV21" s="186"/>
      <c r="AW21" s="73"/>
    </row>
    <row r="22" spans="1:49" s="54" customFormat="1" ht="11.25" x14ac:dyDescent="0.2">
      <c r="A22" s="86">
        <f t="shared" si="0"/>
        <v>20</v>
      </c>
      <c r="B22" s="59"/>
      <c r="C22" s="60"/>
      <c r="D22" s="186"/>
      <c r="E22" s="88">
        <f t="shared" si="1"/>
        <v>20</v>
      </c>
      <c r="F22" s="59">
        <v>10.5</v>
      </c>
      <c r="G22" s="60">
        <v>185</v>
      </c>
      <c r="H22" s="186"/>
      <c r="I22" s="88">
        <f t="shared" si="2"/>
        <v>20</v>
      </c>
      <c r="J22" s="59">
        <v>15.51</v>
      </c>
      <c r="K22" s="60">
        <v>158</v>
      </c>
      <c r="L22" s="186"/>
      <c r="M22" s="88">
        <f t="shared" si="3"/>
        <v>20</v>
      </c>
      <c r="N22" s="59">
        <v>13.5</v>
      </c>
      <c r="O22" s="60">
        <v>52</v>
      </c>
      <c r="P22" s="186"/>
      <c r="Q22" s="88">
        <f t="shared" si="4"/>
        <v>20</v>
      </c>
      <c r="R22" s="59">
        <v>14.4</v>
      </c>
      <c r="S22" s="60">
        <v>5</v>
      </c>
      <c r="T22" s="186"/>
      <c r="U22" s="88">
        <f t="shared" si="5"/>
        <v>20</v>
      </c>
      <c r="V22" s="59">
        <v>24.66</v>
      </c>
      <c r="W22" s="60">
        <v>25</v>
      </c>
      <c r="X22" s="186"/>
      <c r="Y22" s="88">
        <f t="shared" si="6"/>
        <v>20</v>
      </c>
      <c r="Z22" s="59">
        <v>20.2</v>
      </c>
      <c r="AA22" s="60">
        <v>30</v>
      </c>
      <c r="AB22" s="186"/>
      <c r="AC22" s="88">
        <f t="shared" si="7"/>
        <v>20</v>
      </c>
      <c r="AD22" s="59"/>
      <c r="AE22" s="60"/>
      <c r="AF22" s="186"/>
      <c r="AG22" s="88">
        <f t="shared" si="8"/>
        <v>20</v>
      </c>
      <c r="AH22" s="59">
        <v>61.7</v>
      </c>
      <c r="AI22" s="60">
        <v>755</v>
      </c>
      <c r="AJ22" s="186"/>
      <c r="AK22" s="88">
        <f t="shared" si="9"/>
        <v>20</v>
      </c>
      <c r="AL22" s="59">
        <v>17</v>
      </c>
      <c r="AM22" s="60">
        <v>30</v>
      </c>
      <c r="AN22" s="186"/>
      <c r="AO22" s="88">
        <f t="shared" si="10"/>
        <v>20</v>
      </c>
      <c r="AP22" s="59">
        <v>10</v>
      </c>
      <c r="AQ22" s="60">
        <v>30</v>
      </c>
      <c r="AR22" s="186"/>
      <c r="AS22" s="88">
        <f t="shared" si="11"/>
        <v>20</v>
      </c>
      <c r="AT22" s="59">
        <v>22.3</v>
      </c>
      <c r="AU22" s="60">
        <v>80</v>
      </c>
      <c r="AV22" s="186"/>
      <c r="AW22" s="73"/>
    </row>
    <row r="23" spans="1:49" s="54" customFormat="1" ht="11.25" x14ac:dyDescent="0.2">
      <c r="A23" s="86">
        <f t="shared" si="0"/>
        <v>21</v>
      </c>
      <c r="B23" s="59"/>
      <c r="C23" s="60"/>
      <c r="D23" s="186"/>
      <c r="E23" s="88">
        <f t="shared" si="1"/>
        <v>21</v>
      </c>
      <c r="F23" s="59">
        <v>22.5</v>
      </c>
      <c r="G23" s="60">
        <v>210</v>
      </c>
      <c r="H23" s="186"/>
      <c r="I23" s="88">
        <f t="shared" si="2"/>
        <v>21</v>
      </c>
      <c r="J23" s="59">
        <v>37.159999999999997</v>
      </c>
      <c r="K23" s="60">
        <v>170</v>
      </c>
      <c r="L23" s="186"/>
      <c r="M23" s="88">
        <f t="shared" si="3"/>
        <v>21</v>
      </c>
      <c r="N23" s="59">
        <v>11.4</v>
      </c>
      <c r="O23" s="60">
        <v>40</v>
      </c>
      <c r="P23" s="186"/>
      <c r="Q23" s="88">
        <f t="shared" si="4"/>
        <v>21</v>
      </c>
      <c r="R23" s="59">
        <v>13.96</v>
      </c>
      <c r="S23" s="60">
        <v>140</v>
      </c>
      <c r="T23" s="186"/>
      <c r="U23" s="88">
        <f t="shared" si="5"/>
        <v>21</v>
      </c>
      <c r="V23" s="59">
        <v>31.6</v>
      </c>
      <c r="W23" s="60">
        <v>170</v>
      </c>
      <c r="X23" s="186"/>
      <c r="Y23" s="88">
        <f t="shared" si="6"/>
        <v>21</v>
      </c>
      <c r="Z23" s="59">
        <v>24.66</v>
      </c>
      <c r="AA23" s="60">
        <v>25</v>
      </c>
      <c r="AB23" s="186"/>
      <c r="AC23" s="88">
        <f t="shared" si="7"/>
        <v>21</v>
      </c>
      <c r="AD23" s="59"/>
      <c r="AE23" s="60"/>
      <c r="AF23" s="186"/>
      <c r="AG23" s="88">
        <f t="shared" si="8"/>
        <v>21</v>
      </c>
      <c r="AH23" s="59">
        <v>13.5</v>
      </c>
      <c r="AI23" s="60">
        <v>125</v>
      </c>
      <c r="AJ23" s="186"/>
      <c r="AK23" s="88">
        <f t="shared" si="9"/>
        <v>21</v>
      </c>
      <c r="AL23" s="59">
        <v>27.7</v>
      </c>
      <c r="AM23" s="60">
        <v>180</v>
      </c>
      <c r="AN23" s="186"/>
      <c r="AO23" s="88">
        <f t="shared" si="10"/>
        <v>21</v>
      </c>
      <c r="AP23" s="59">
        <v>34.659999999999997</v>
      </c>
      <c r="AQ23" s="60">
        <v>55</v>
      </c>
      <c r="AR23" s="186"/>
      <c r="AS23" s="88">
        <f t="shared" si="11"/>
        <v>21</v>
      </c>
      <c r="AT23" s="59">
        <v>10</v>
      </c>
      <c r="AU23" s="60">
        <v>20</v>
      </c>
      <c r="AV23" s="186"/>
      <c r="AW23" s="73"/>
    </row>
    <row r="24" spans="1:49" s="54" customFormat="1" ht="11.25" x14ac:dyDescent="0.2">
      <c r="A24" s="86">
        <f t="shared" si="0"/>
        <v>22</v>
      </c>
      <c r="B24" s="59"/>
      <c r="C24" s="60"/>
      <c r="D24" s="186"/>
      <c r="E24" s="88">
        <f t="shared" si="1"/>
        <v>22</v>
      </c>
      <c r="F24" s="59">
        <v>13.4</v>
      </c>
      <c r="G24" s="60">
        <v>285</v>
      </c>
      <c r="H24" s="186"/>
      <c r="I24" s="88">
        <f t="shared" si="2"/>
        <v>22</v>
      </c>
      <c r="J24" s="59">
        <v>29.330000000000002</v>
      </c>
      <c r="K24" s="60">
        <v>400</v>
      </c>
      <c r="L24" s="186"/>
      <c r="M24" s="88">
        <f t="shared" si="3"/>
        <v>22</v>
      </c>
      <c r="N24" s="59">
        <v>16.68</v>
      </c>
      <c r="O24" s="60">
        <v>102</v>
      </c>
      <c r="P24" s="186"/>
      <c r="Q24" s="88">
        <f t="shared" si="4"/>
        <v>22</v>
      </c>
      <c r="R24" s="59">
        <v>12.46</v>
      </c>
      <c r="S24" s="54">
        <v>351</v>
      </c>
      <c r="T24" s="186"/>
      <c r="U24" s="88">
        <f t="shared" si="5"/>
        <v>22</v>
      </c>
      <c r="V24" s="59">
        <v>27.2</v>
      </c>
      <c r="W24" s="60">
        <v>483</v>
      </c>
      <c r="X24" s="186"/>
      <c r="Y24" s="88">
        <f t="shared" si="6"/>
        <v>22</v>
      </c>
      <c r="Z24" s="59">
        <v>12.6</v>
      </c>
      <c r="AA24" s="60">
        <v>150</v>
      </c>
      <c r="AB24" s="186"/>
      <c r="AC24" s="88">
        <f t="shared" si="7"/>
        <v>22</v>
      </c>
      <c r="AD24" s="59"/>
      <c r="AE24" s="60"/>
      <c r="AF24" s="186"/>
      <c r="AG24" s="88">
        <f t="shared" si="8"/>
        <v>22</v>
      </c>
      <c r="AH24" s="59">
        <v>10</v>
      </c>
      <c r="AI24" s="60">
        <v>30</v>
      </c>
      <c r="AJ24" s="186"/>
      <c r="AK24" s="88">
        <f t="shared" si="9"/>
        <v>22</v>
      </c>
      <c r="AL24" s="59">
        <v>10.5</v>
      </c>
      <c r="AM24" s="60">
        <v>30</v>
      </c>
      <c r="AN24" s="186"/>
      <c r="AO24" s="88">
        <f t="shared" si="10"/>
        <v>22</v>
      </c>
      <c r="AP24" s="59">
        <v>41.68</v>
      </c>
      <c r="AQ24" s="60">
        <v>247</v>
      </c>
      <c r="AR24" s="186"/>
      <c r="AS24" s="88">
        <f t="shared" si="11"/>
        <v>22</v>
      </c>
      <c r="AT24" s="59">
        <v>11.1</v>
      </c>
      <c r="AU24" s="60">
        <v>40</v>
      </c>
      <c r="AV24" s="186"/>
      <c r="AW24" s="73"/>
    </row>
    <row r="25" spans="1:49" s="54" customFormat="1" ht="11.25" x14ac:dyDescent="0.2">
      <c r="A25" s="86">
        <f t="shared" si="0"/>
        <v>23</v>
      </c>
      <c r="B25" s="59"/>
      <c r="C25" s="60"/>
      <c r="D25" s="186"/>
      <c r="E25" s="88">
        <f t="shared" si="1"/>
        <v>23</v>
      </c>
      <c r="F25" s="59">
        <v>10.199999999999999</v>
      </c>
      <c r="G25" s="60">
        <v>20</v>
      </c>
      <c r="H25" s="186"/>
      <c r="I25" s="88">
        <f t="shared" si="2"/>
        <v>23</v>
      </c>
      <c r="J25" s="59">
        <v>10.86</v>
      </c>
      <c r="K25" s="60">
        <v>5</v>
      </c>
      <c r="L25" s="186"/>
      <c r="M25" s="88">
        <f t="shared" si="3"/>
        <v>23</v>
      </c>
      <c r="N25" s="59">
        <v>18.2</v>
      </c>
      <c r="O25" s="60">
        <v>80</v>
      </c>
      <c r="P25" s="186"/>
      <c r="Q25" s="88">
        <f t="shared" si="4"/>
        <v>23</v>
      </c>
      <c r="R25" s="59">
        <v>66.599999999999994</v>
      </c>
      <c r="S25" s="60">
        <v>130</v>
      </c>
      <c r="T25" s="186"/>
      <c r="U25" s="88">
        <f t="shared" si="5"/>
        <v>23</v>
      </c>
      <c r="V25" s="59">
        <v>45.3</v>
      </c>
      <c r="W25" s="60">
        <v>288</v>
      </c>
      <c r="X25" s="186"/>
      <c r="Y25" s="88">
        <f t="shared" si="6"/>
        <v>23</v>
      </c>
      <c r="Z25" s="59">
        <v>25.890000000000004</v>
      </c>
      <c r="AA25" s="60">
        <v>70</v>
      </c>
      <c r="AB25" s="186"/>
      <c r="AC25" s="88">
        <f t="shared" si="7"/>
        <v>23</v>
      </c>
      <c r="AD25" s="59">
        <v>15</v>
      </c>
      <c r="AE25" s="60">
        <v>55</v>
      </c>
      <c r="AF25" s="186"/>
      <c r="AG25" s="88">
        <f t="shared" si="8"/>
        <v>23</v>
      </c>
      <c r="AH25" s="59">
        <v>10</v>
      </c>
      <c r="AI25" s="60">
        <v>30</v>
      </c>
      <c r="AJ25" s="186"/>
      <c r="AK25" s="88">
        <f t="shared" si="9"/>
        <v>23</v>
      </c>
      <c r="AL25" s="59">
        <v>10.6</v>
      </c>
      <c r="AM25" s="60">
        <v>350</v>
      </c>
      <c r="AN25" s="186"/>
      <c r="AO25" s="88">
        <f t="shared" si="10"/>
        <v>23</v>
      </c>
      <c r="AP25" s="59">
        <v>10</v>
      </c>
      <c r="AQ25" s="60">
        <v>30</v>
      </c>
      <c r="AR25" s="186"/>
      <c r="AS25" s="88">
        <f t="shared" si="11"/>
        <v>23</v>
      </c>
      <c r="AT25" s="59">
        <v>10</v>
      </c>
      <c r="AU25" s="60">
        <v>3</v>
      </c>
      <c r="AV25" s="186"/>
      <c r="AW25" s="73"/>
    </row>
    <row r="26" spans="1:49" s="54" customFormat="1" ht="11.25" x14ac:dyDescent="0.2">
      <c r="A26" s="86">
        <f t="shared" si="0"/>
        <v>24</v>
      </c>
      <c r="B26" s="59">
        <v>9</v>
      </c>
      <c r="C26" s="60">
        <v>45</v>
      </c>
      <c r="D26" s="186"/>
      <c r="E26" s="88">
        <f t="shared" si="1"/>
        <v>24</v>
      </c>
      <c r="F26" s="59">
        <v>7.1</v>
      </c>
      <c r="G26" s="60">
        <v>20</v>
      </c>
      <c r="H26" s="186"/>
      <c r="I26" s="88">
        <f t="shared" si="2"/>
        <v>24</v>
      </c>
      <c r="J26" s="59">
        <v>10.86</v>
      </c>
      <c r="K26" s="60">
        <v>5</v>
      </c>
      <c r="L26" s="186"/>
      <c r="M26" s="88">
        <f t="shared" si="3"/>
        <v>24</v>
      </c>
      <c r="N26" s="59">
        <v>14.23</v>
      </c>
      <c r="O26" s="60">
        <v>157</v>
      </c>
      <c r="P26" s="186"/>
      <c r="Q26" s="88">
        <f t="shared" si="4"/>
        <v>24</v>
      </c>
      <c r="R26" s="59">
        <v>20.399999999999999</v>
      </c>
      <c r="S26" s="60">
        <v>380</v>
      </c>
      <c r="T26" s="186"/>
      <c r="U26" s="88">
        <f t="shared" si="5"/>
        <v>24</v>
      </c>
      <c r="V26" s="59">
        <v>36.799999999999997</v>
      </c>
      <c r="W26" s="60">
        <v>458</v>
      </c>
      <c r="X26" s="186"/>
      <c r="Y26" s="88">
        <f t="shared" si="6"/>
        <v>24</v>
      </c>
      <c r="Z26" s="59">
        <v>10.5</v>
      </c>
      <c r="AA26" s="60">
        <v>20</v>
      </c>
      <c r="AB26" s="186"/>
      <c r="AC26" s="88">
        <f t="shared" si="7"/>
        <v>24</v>
      </c>
      <c r="AD26" s="59">
        <v>43.96</v>
      </c>
      <c r="AE26" s="60">
        <v>429</v>
      </c>
      <c r="AF26" s="186"/>
      <c r="AG26" s="88">
        <f t="shared" si="8"/>
        <v>24</v>
      </c>
      <c r="AH26" s="59">
        <v>16.259999999999998</v>
      </c>
      <c r="AI26" s="60">
        <v>92</v>
      </c>
      <c r="AJ26" s="186"/>
      <c r="AK26" s="88">
        <f t="shared" si="9"/>
        <v>24</v>
      </c>
      <c r="AL26" s="59">
        <v>77.539999999999992</v>
      </c>
      <c r="AM26" s="60">
        <v>193</v>
      </c>
      <c r="AN26" s="186"/>
      <c r="AO26" s="88">
        <f t="shared" si="10"/>
        <v>24</v>
      </c>
      <c r="AP26" s="59">
        <v>10</v>
      </c>
      <c r="AQ26" s="60">
        <v>30</v>
      </c>
      <c r="AR26" s="186"/>
      <c r="AS26" s="88">
        <f t="shared" si="11"/>
        <v>24</v>
      </c>
      <c r="AT26" s="59">
        <v>20</v>
      </c>
      <c r="AU26" s="60">
        <v>30</v>
      </c>
      <c r="AV26" s="186"/>
      <c r="AW26" s="73"/>
    </row>
    <row r="27" spans="1:49" s="54" customFormat="1" ht="11.25" x14ac:dyDescent="0.2">
      <c r="A27" s="86">
        <f t="shared" si="0"/>
        <v>25</v>
      </c>
      <c r="B27" s="59">
        <v>16.3</v>
      </c>
      <c r="C27" s="60">
        <v>80</v>
      </c>
      <c r="D27" s="186"/>
      <c r="E27" s="88">
        <f t="shared" si="1"/>
        <v>25</v>
      </c>
      <c r="F27" s="59">
        <v>16</v>
      </c>
      <c r="G27" s="60">
        <v>96</v>
      </c>
      <c r="H27" s="186"/>
      <c r="I27" s="88">
        <f t="shared" si="2"/>
        <v>25</v>
      </c>
      <c r="J27" s="59"/>
      <c r="K27" s="60"/>
      <c r="L27" s="186"/>
      <c r="M27" s="88">
        <f t="shared" si="3"/>
        <v>25</v>
      </c>
      <c r="N27" s="59">
        <v>18.309999999999999</v>
      </c>
      <c r="O27" s="60">
        <v>355</v>
      </c>
      <c r="P27" s="186"/>
      <c r="Q27" s="88">
        <f t="shared" si="4"/>
        <v>25</v>
      </c>
      <c r="R27" s="59">
        <v>42</v>
      </c>
      <c r="S27" s="60">
        <v>435</v>
      </c>
      <c r="T27" s="186"/>
      <c r="U27" s="88">
        <f t="shared" si="5"/>
        <v>25</v>
      </c>
      <c r="V27" s="59">
        <v>36.4</v>
      </c>
      <c r="W27" s="60">
        <v>405</v>
      </c>
      <c r="X27" s="186"/>
      <c r="Y27" s="88">
        <f t="shared" si="6"/>
        <v>25</v>
      </c>
      <c r="Z27" s="59">
        <v>51.75</v>
      </c>
      <c r="AA27" s="60">
        <v>328</v>
      </c>
      <c r="AB27" s="186"/>
      <c r="AC27" s="88">
        <f t="shared" si="7"/>
        <v>25</v>
      </c>
      <c r="AD27" s="59">
        <v>22.83</v>
      </c>
      <c r="AE27" s="60">
        <v>172</v>
      </c>
      <c r="AF27" s="186"/>
      <c r="AG27" s="88">
        <f t="shared" si="8"/>
        <v>25</v>
      </c>
      <c r="AH27" s="59">
        <v>10</v>
      </c>
      <c r="AI27" s="60">
        <v>340</v>
      </c>
      <c r="AJ27" s="186"/>
      <c r="AK27" s="88">
        <f t="shared" si="9"/>
        <v>25</v>
      </c>
      <c r="AL27" s="59">
        <v>52.69</v>
      </c>
      <c r="AM27" s="60">
        <v>280</v>
      </c>
      <c r="AN27" s="186"/>
      <c r="AO27" s="88">
        <f t="shared" si="10"/>
        <v>25</v>
      </c>
      <c r="AP27" s="59">
        <v>11.5</v>
      </c>
      <c r="AQ27" s="60">
        <v>30</v>
      </c>
      <c r="AR27" s="186"/>
      <c r="AS27" s="88">
        <f t="shared" si="11"/>
        <v>25</v>
      </c>
      <c r="AT27" s="59">
        <v>10.7</v>
      </c>
      <c r="AU27" s="60">
        <v>215</v>
      </c>
      <c r="AV27" s="186"/>
      <c r="AW27" s="73"/>
    </row>
    <row r="28" spans="1:49" s="54" customFormat="1" ht="11.25" x14ac:dyDescent="0.2">
      <c r="A28" s="86">
        <f t="shared" si="0"/>
        <v>26</v>
      </c>
      <c r="B28" s="59">
        <v>10</v>
      </c>
      <c r="C28" s="60">
        <v>20</v>
      </c>
      <c r="D28" s="186"/>
      <c r="E28" s="88">
        <f t="shared" si="1"/>
        <v>26</v>
      </c>
      <c r="F28" s="59">
        <v>12.35</v>
      </c>
      <c r="G28" s="60">
        <v>32</v>
      </c>
      <c r="H28" s="186"/>
      <c r="I28" s="88">
        <f t="shared" si="2"/>
        <v>26</v>
      </c>
      <c r="J28" s="59">
        <v>11.399999999999999</v>
      </c>
      <c r="K28" s="60">
        <v>40</v>
      </c>
      <c r="L28" s="186"/>
      <c r="M28" s="88">
        <f t="shared" si="3"/>
        <v>26</v>
      </c>
      <c r="N28" s="59">
        <v>38.6</v>
      </c>
      <c r="O28" s="60">
        <v>750</v>
      </c>
      <c r="P28" s="186"/>
      <c r="Q28" s="88">
        <f t="shared" si="4"/>
        <v>26</v>
      </c>
      <c r="R28" s="59">
        <v>22.83</v>
      </c>
      <c r="S28" s="60">
        <v>172</v>
      </c>
      <c r="T28" s="186"/>
      <c r="U28" s="88">
        <f t="shared" si="5"/>
        <v>26</v>
      </c>
      <c r="V28" s="59">
        <v>19.5</v>
      </c>
      <c r="W28" s="60">
        <v>450</v>
      </c>
      <c r="X28" s="186"/>
      <c r="Y28" s="88">
        <f t="shared" si="6"/>
        <v>26</v>
      </c>
      <c r="Z28" s="59">
        <v>31.7</v>
      </c>
      <c r="AA28" s="60">
        <v>150</v>
      </c>
      <c r="AB28" s="186"/>
      <c r="AC28" s="88">
        <f t="shared" si="7"/>
        <v>26</v>
      </c>
      <c r="AD28" s="59">
        <v>12</v>
      </c>
      <c r="AE28" s="60">
        <v>25</v>
      </c>
      <c r="AF28" s="186"/>
      <c r="AG28" s="88">
        <f t="shared" si="8"/>
        <v>26</v>
      </c>
      <c r="AH28" s="59">
        <v>53.419999999999987</v>
      </c>
      <c r="AI28" s="60">
        <v>380</v>
      </c>
      <c r="AJ28" s="186"/>
      <c r="AK28" s="88">
        <f t="shared" si="9"/>
        <v>26</v>
      </c>
      <c r="AL28" s="59">
        <v>10.26</v>
      </c>
      <c r="AM28" s="60">
        <v>72</v>
      </c>
      <c r="AN28" s="186"/>
      <c r="AO28" s="88">
        <f t="shared" si="10"/>
        <v>26</v>
      </c>
      <c r="AP28" s="59"/>
      <c r="AQ28" s="60"/>
      <c r="AR28" s="186"/>
      <c r="AS28" s="88">
        <f t="shared" si="11"/>
        <v>26</v>
      </c>
      <c r="AT28" s="59">
        <v>44.61</v>
      </c>
      <c r="AU28" s="60">
        <v>185</v>
      </c>
      <c r="AV28" s="186"/>
      <c r="AW28" s="73"/>
    </row>
    <row r="29" spans="1:49" s="54" customFormat="1" ht="11.25" x14ac:dyDescent="0.2">
      <c r="A29" s="86">
        <f t="shared" si="0"/>
        <v>27</v>
      </c>
      <c r="B29" s="59">
        <v>7</v>
      </c>
      <c r="C29" s="60">
        <v>50</v>
      </c>
      <c r="D29" s="186"/>
      <c r="E29" s="88">
        <f t="shared" si="1"/>
        <v>27</v>
      </c>
      <c r="F29" s="59">
        <v>11.8</v>
      </c>
      <c r="G29" s="60">
        <v>40</v>
      </c>
      <c r="H29" s="186"/>
      <c r="I29" s="88">
        <f t="shared" si="2"/>
        <v>27</v>
      </c>
      <c r="J29" s="59">
        <v>19.2</v>
      </c>
      <c r="K29" s="60">
        <v>10</v>
      </c>
      <c r="L29" s="186"/>
      <c r="M29" s="88">
        <f t="shared" si="3"/>
        <v>27</v>
      </c>
      <c r="N29" s="59">
        <v>11.8</v>
      </c>
      <c r="O29" s="60">
        <v>20</v>
      </c>
      <c r="P29" s="186"/>
      <c r="Q29" s="88">
        <f t="shared" si="4"/>
        <v>27</v>
      </c>
      <c r="R29" s="59">
        <v>15.3</v>
      </c>
      <c r="S29" s="60">
        <v>40</v>
      </c>
      <c r="T29" s="186"/>
      <c r="U29" s="88">
        <f t="shared" si="5"/>
        <v>27</v>
      </c>
      <c r="V29" s="59">
        <v>35</v>
      </c>
      <c r="W29" s="60">
        <v>400</v>
      </c>
      <c r="X29" s="186"/>
      <c r="Y29" s="88">
        <f t="shared" si="6"/>
        <v>27</v>
      </c>
      <c r="Z29" s="59">
        <v>19.150000000000002</v>
      </c>
      <c r="AA29" s="60">
        <v>52</v>
      </c>
      <c r="AB29" s="186"/>
      <c r="AC29" s="88">
        <f t="shared" si="7"/>
        <v>27</v>
      </c>
      <c r="AD29" s="59">
        <v>10.5</v>
      </c>
      <c r="AE29" s="60">
        <v>30</v>
      </c>
      <c r="AF29" s="186"/>
      <c r="AG29" s="88">
        <f t="shared" si="8"/>
        <v>27</v>
      </c>
      <c r="AH29" s="59">
        <v>63.83</v>
      </c>
      <c r="AI29" s="60">
        <v>223</v>
      </c>
      <c r="AJ29" s="186"/>
      <c r="AK29" s="88">
        <f t="shared" si="9"/>
        <v>27</v>
      </c>
      <c r="AL29" s="59">
        <v>8.26</v>
      </c>
      <c r="AM29" s="60">
        <v>70</v>
      </c>
      <c r="AN29" s="186"/>
      <c r="AO29" s="88">
        <f t="shared" si="10"/>
        <v>27</v>
      </c>
      <c r="AP29" s="59">
        <v>24.89</v>
      </c>
      <c r="AQ29" s="60">
        <v>25</v>
      </c>
      <c r="AR29" s="186"/>
      <c r="AS29" s="88">
        <f t="shared" si="11"/>
        <v>27</v>
      </c>
      <c r="AT29" s="59">
        <v>50</v>
      </c>
      <c r="AU29" s="60">
        <v>45</v>
      </c>
      <c r="AV29" s="186"/>
      <c r="AW29" s="73"/>
    </row>
    <row r="30" spans="1:49" s="54" customFormat="1" ht="11.25" x14ac:dyDescent="0.2">
      <c r="A30" s="86">
        <f t="shared" si="0"/>
        <v>28</v>
      </c>
      <c r="B30" s="59">
        <v>10</v>
      </c>
      <c r="C30" s="60">
        <v>20</v>
      </c>
      <c r="D30" s="186"/>
      <c r="E30" s="88">
        <f t="shared" si="1"/>
        <v>28</v>
      </c>
      <c r="F30" s="59">
        <v>26.5</v>
      </c>
      <c r="G30" s="60">
        <v>130</v>
      </c>
      <c r="H30" s="186"/>
      <c r="I30" s="88">
        <f t="shared" si="2"/>
        <v>28</v>
      </c>
      <c r="J30" s="59">
        <v>38.700000000000003</v>
      </c>
      <c r="K30" s="60">
        <v>1018</v>
      </c>
      <c r="L30" s="186"/>
      <c r="M30" s="88">
        <f t="shared" si="3"/>
        <v>28</v>
      </c>
      <c r="N30" s="59">
        <v>19.2</v>
      </c>
      <c r="O30" s="60">
        <v>30</v>
      </c>
      <c r="P30" s="186"/>
      <c r="Q30" s="88">
        <f t="shared" si="4"/>
        <v>28</v>
      </c>
      <c r="R30" s="59">
        <v>32.159999999999997</v>
      </c>
      <c r="S30" s="60">
        <v>25</v>
      </c>
      <c r="T30" s="186"/>
      <c r="U30" s="88">
        <f t="shared" si="5"/>
        <v>28</v>
      </c>
      <c r="V30" s="59">
        <v>111.31</v>
      </c>
      <c r="W30" s="60">
        <v>1460</v>
      </c>
      <c r="X30" s="186"/>
      <c r="Y30" s="88">
        <f t="shared" si="6"/>
        <v>28</v>
      </c>
      <c r="Z30" s="59">
        <v>17.149999999999999</v>
      </c>
      <c r="AA30" s="60">
        <v>57</v>
      </c>
      <c r="AB30" s="186"/>
      <c r="AC30" s="88">
        <f t="shared" si="7"/>
        <v>28</v>
      </c>
      <c r="AD30" s="59"/>
      <c r="AE30" s="60"/>
      <c r="AF30" s="186"/>
      <c r="AG30" s="88">
        <f t="shared" si="8"/>
        <v>28</v>
      </c>
      <c r="AH30" s="59">
        <v>10</v>
      </c>
      <c r="AI30" s="60">
        <v>30</v>
      </c>
      <c r="AJ30" s="186"/>
      <c r="AK30" s="88">
        <f t="shared" si="9"/>
        <v>28</v>
      </c>
      <c r="AL30" s="59">
        <v>19.2</v>
      </c>
      <c r="AM30" s="60">
        <v>30</v>
      </c>
      <c r="AN30" s="186"/>
      <c r="AO30" s="88">
        <f t="shared" si="10"/>
        <v>28</v>
      </c>
      <c r="AP30" s="59">
        <v>41.599999999999994</v>
      </c>
      <c r="AQ30" s="60">
        <v>53</v>
      </c>
      <c r="AR30" s="186"/>
      <c r="AS30" s="88">
        <f t="shared" si="11"/>
        <v>28</v>
      </c>
      <c r="AT30" s="59">
        <v>11.1</v>
      </c>
      <c r="AU30" s="60">
        <v>40</v>
      </c>
      <c r="AV30" s="186"/>
      <c r="AW30" s="73"/>
    </row>
    <row r="31" spans="1:49" s="54" customFormat="1" ht="11.25" x14ac:dyDescent="0.2">
      <c r="A31" s="86">
        <f t="shared" si="0"/>
        <v>29</v>
      </c>
      <c r="B31" s="59">
        <v>15.3</v>
      </c>
      <c r="C31" s="60">
        <v>50</v>
      </c>
      <c r="D31" s="186"/>
      <c r="E31" s="88"/>
      <c r="F31" s="59"/>
      <c r="G31" s="60"/>
      <c r="H31" s="186"/>
      <c r="I31" s="88">
        <f t="shared" si="2"/>
        <v>29</v>
      </c>
      <c r="J31" s="59"/>
      <c r="K31" s="60"/>
      <c r="L31" s="186"/>
      <c r="M31" s="88">
        <f t="shared" si="3"/>
        <v>29</v>
      </c>
      <c r="N31" s="59">
        <v>20.2</v>
      </c>
      <c r="O31" s="60">
        <v>30</v>
      </c>
      <c r="P31" s="186"/>
      <c r="Q31" s="88">
        <f t="shared" si="4"/>
        <v>29</v>
      </c>
      <c r="R31" s="59">
        <v>10</v>
      </c>
      <c r="S31" s="60">
        <v>340</v>
      </c>
      <c r="T31" s="186"/>
      <c r="U31" s="88">
        <f t="shared" si="5"/>
        <v>29</v>
      </c>
      <c r="V31" s="59">
        <v>10.66</v>
      </c>
      <c r="W31" s="60">
        <v>90</v>
      </c>
      <c r="X31" s="186"/>
      <c r="Y31" s="88">
        <f t="shared" si="6"/>
        <v>29</v>
      </c>
      <c r="Z31" s="59">
        <v>21.1</v>
      </c>
      <c r="AA31" s="60">
        <v>57</v>
      </c>
      <c r="AB31" s="186"/>
      <c r="AC31" s="88">
        <f t="shared" si="7"/>
        <v>29</v>
      </c>
      <c r="AD31" s="59">
        <v>41.89</v>
      </c>
      <c r="AE31" s="60">
        <v>655</v>
      </c>
      <c r="AF31" s="186"/>
      <c r="AG31" s="88">
        <f t="shared" si="8"/>
        <v>29</v>
      </c>
      <c r="AH31" s="59">
        <v>10.66</v>
      </c>
      <c r="AI31" s="60">
        <v>30</v>
      </c>
      <c r="AJ31" s="186"/>
      <c r="AK31" s="88">
        <f t="shared" si="9"/>
        <v>29</v>
      </c>
      <c r="AL31" s="59">
        <v>11</v>
      </c>
      <c r="AM31" s="60">
        <v>50</v>
      </c>
      <c r="AN31" s="186"/>
      <c r="AO31" s="88">
        <f t="shared" si="10"/>
        <v>29</v>
      </c>
      <c r="AP31" s="59"/>
      <c r="AQ31" s="60"/>
      <c r="AR31" s="186">
        <v>2.2916666666666669E-2</v>
      </c>
      <c r="AS31" s="88">
        <f t="shared" si="11"/>
        <v>29</v>
      </c>
      <c r="AT31" s="59">
        <v>12.5</v>
      </c>
      <c r="AU31" s="60">
        <v>30</v>
      </c>
      <c r="AV31" s="186"/>
      <c r="AW31" s="73"/>
    </row>
    <row r="32" spans="1:49" s="54" customFormat="1" ht="11.25" x14ac:dyDescent="0.2">
      <c r="A32" s="86">
        <f t="shared" si="0"/>
        <v>30</v>
      </c>
      <c r="B32" s="59">
        <v>8.6999999999999993</v>
      </c>
      <c r="C32" s="60">
        <v>220</v>
      </c>
      <c r="D32" s="186"/>
      <c r="E32" s="88"/>
      <c r="F32" s="59"/>
      <c r="G32" s="60"/>
      <c r="H32" s="186"/>
      <c r="I32" s="88">
        <f t="shared" si="2"/>
        <v>30</v>
      </c>
      <c r="J32" s="59">
        <v>10.199999999999999</v>
      </c>
      <c r="K32" s="60">
        <v>20</v>
      </c>
      <c r="L32" s="186"/>
      <c r="M32" s="88">
        <f t="shared" si="3"/>
        <v>30</v>
      </c>
      <c r="N32" s="59">
        <v>21.6</v>
      </c>
      <c r="O32" s="60">
        <v>60</v>
      </c>
      <c r="P32" s="186"/>
      <c r="Q32" s="88">
        <f t="shared" si="4"/>
        <v>30</v>
      </c>
      <c r="R32" s="59">
        <v>27</v>
      </c>
      <c r="S32" s="60">
        <v>115</v>
      </c>
      <c r="T32" s="186"/>
      <c r="U32" s="88">
        <f t="shared" si="5"/>
        <v>30</v>
      </c>
      <c r="V32" s="59">
        <v>11</v>
      </c>
      <c r="W32" s="60">
        <v>20</v>
      </c>
      <c r="X32" s="186"/>
      <c r="Y32" s="88">
        <f t="shared" si="6"/>
        <v>30</v>
      </c>
      <c r="Z32" s="59">
        <v>24.66</v>
      </c>
      <c r="AA32" s="60">
        <v>25</v>
      </c>
      <c r="AB32" s="186"/>
      <c r="AC32" s="88">
        <f t="shared" si="7"/>
        <v>30</v>
      </c>
      <c r="AD32" s="59">
        <v>86.460000000000008</v>
      </c>
      <c r="AE32" s="60">
        <v>1311</v>
      </c>
      <c r="AF32" s="186"/>
      <c r="AG32" s="88">
        <f t="shared" si="8"/>
        <v>30</v>
      </c>
      <c r="AH32" s="59">
        <v>15</v>
      </c>
      <c r="AI32" s="60">
        <v>50</v>
      </c>
      <c r="AJ32" s="186"/>
      <c r="AK32" s="88">
        <f t="shared" si="9"/>
        <v>30</v>
      </c>
      <c r="AL32" s="59">
        <v>10.6</v>
      </c>
      <c r="AM32" s="60">
        <v>350</v>
      </c>
      <c r="AN32" s="186"/>
      <c r="AO32" s="88">
        <f t="shared" si="10"/>
        <v>30</v>
      </c>
      <c r="AP32" s="59">
        <v>10</v>
      </c>
      <c r="AQ32" s="60">
        <v>5</v>
      </c>
      <c r="AR32" s="186"/>
      <c r="AS32" s="88">
        <f t="shared" si="11"/>
        <v>30</v>
      </c>
      <c r="AT32" s="59">
        <v>24.66</v>
      </c>
      <c r="AU32" s="60">
        <v>25</v>
      </c>
      <c r="AV32" s="186"/>
      <c r="AW32" s="73"/>
    </row>
    <row r="33" spans="1:49" s="54" customFormat="1" ht="11.25" x14ac:dyDescent="0.2">
      <c r="A33" s="87">
        <f t="shared" si="0"/>
        <v>31</v>
      </c>
      <c r="B33" s="68">
        <v>31.4</v>
      </c>
      <c r="C33" s="69">
        <v>120</v>
      </c>
      <c r="D33" s="187"/>
      <c r="E33" s="89"/>
      <c r="F33" s="68"/>
      <c r="G33" s="69"/>
      <c r="H33" s="187"/>
      <c r="I33" s="89">
        <f t="shared" si="2"/>
        <v>31</v>
      </c>
      <c r="J33" s="68"/>
      <c r="K33" s="69"/>
      <c r="L33" s="187"/>
      <c r="M33" s="89"/>
      <c r="N33" s="68"/>
      <c r="O33" s="69"/>
      <c r="P33" s="187"/>
      <c r="Q33" s="89">
        <f t="shared" si="4"/>
        <v>31</v>
      </c>
      <c r="R33" s="68">
        <v>108.5</v>
      </c>
      <c r="S33" s="69">
        <v>1347</v>
      </c>
      <c r="T33" s="187"/>
      <c r="U33" s="89"/>
      <c r="V33" s="68"/>
      <c r="W33" s="69"/>
      <c r="X33" s="187"/>
      <c r="Y33" s="89">
        <f t="shared" si="6"/>
        <v>31</v>
      </c>
      <c r="Z33" s="68">
        <v>29.81</v>
      </c>
      <c r="AA33" s="69">
        <v>187</v>
      </c>
      <c r="AB33" s="187"/>
      <c r="AC33" s="89">
        <f t="shared" si="7"/>
        <v>31</v>
      </c>
      <c r="AD33" s="68">
        <v>10</v>
      </c>
      <c r="AE33" s="69">
        <v>40</v>
      </c>
      <c r="AF33" s="187"/>
      <c r="AG33" s="89"/>
      <c r="AH33" s="68"/>
      <c r="AI33" s="69"/>
      <c r="AJ33" s="187"/>
      <c r="AK33" s="89">
        <f t="shared" si="9"/>
        <v>31</v>
      </c>
      <c r="AL33" s="68">
        <v>27.46</v>
      </c>
      <c r="AM33" s="69">
        <v>100</v>
      </c>
      <c r="AN33" s="187"/>
      <c r="AO33" s="89"/>
      <c r="AP33" s="68"/>
      <c r="AQ33" s="69"/>
      <c r="AR33" s="187"/>
      <c r="AS33" s="89">
        <f t="shared" si="11"/>
        <v>31</v>
      </c>
      <c r="AT33" s="68">
        <v>20</v>
      </c>
      <c r="AU33" s="69">
        <v>60</v>
      </c>
      <c r="AV33" s="187"/>
      <c r="AW33" s="73"/>
    </row>
    <row r="34" spans="1:49" s="54" customFormat="1" ht="11.25" x14ac:dyDescent="0.2">
      <c r="A34" s="50" t="s">
        <v>95</v>
      </c>
      <c r="B34" s="52">
        <f>SUM(B3:B33)</f>
        <v>382.29</v>
      </c>
      <c r="C34" s="53">
        <f>SUM(C3:C33)</f>
        <v>4623</v>
      </c>
      <c r="D34" s="92">
        <f>(SUM(D3:D33)/D39)*C39</f>
        <v>0</v>
      </c>
      <c r="E34" s="71"/>
      <c r="F34" s="52">
        <f>SUM(F3:F33)</f>
        <v>360.97</v>
      </c>
      <c r="G34" s="53">
        <f>SUM(G3:G33)</f>
        <v>2777</v>
      </c>
      <c r="H34" s="92">
        <f>(SUM(H3:H33)/D39)*C39</f>
        <v>16</v>
      </c>
      <c r="I34" s="71"/>
      <c r="J34" s="52">
        <f>SUM(J3:J33)</f>
        <v>509.1099999999999</v>
      </c>
      <c r="K34" s="53">
        <f>SUM(K3:K33)</f>
        <v>4331</v>
      </c>
      <c r="L34" s="92">
        <f>(SUM(L3:L33)/D39)*C39</f>
        <v>0</v>
      </c>
      <c r="M34" s="90"/>
      <c r="N34" s="52">
        <f>SUM(N3:N33)</f>
        <v>711.51</v>
      </c>
      <c r="O34" s="53">
        <f>SUM(O3:O33)</f>
        <v>6486</v>
      </c>
      <c r="P34" s="92">
        <f>(SUM(P3:P33)/D39)*C39</f>
        <v>39.6</v>
      </c>
      <c r="Q34" s="71"/>
      <c r="R34" s="52">
        <f>SUM(R3:R33)</f>
        <v>1042.1100000000001</v>
      </c>
      <c r="S34" s="53">
        <f>SUM(S3:S33)</f>
        <v>8658</v>
      </c>
      <c r="T34" s="92">
        <f>(SUM(T3:T33)/D39)*C39</f>
        <v>12</v>
      </c>
      <c r="U34" s="71"/>
      <c r="V34" s="52">
        <f>SUM(V3:V33)</f>
        <v>974.87999999999977</v>
      </c>
      <c r="W34" s="53">
        <f>SUM(W3:W33)</f>
        <v>8968</v>
      </c>
      <c r="X34" s="92">
        <f>(SUM(X3:X33)/D39)*C39</f>
        <v>0</v>
      </c>
      <c r="Y34" s="71"/>
      <c r="Z34" s="52">
        <f>SUM(Z3:Z33)</f>
        <v>700.1099999999999</v>
      </c>
      <c r="AA34" s="53">
        <f>SUM(AA3:AA33)</f>
        <v>4917</v>
      </c>
      <c r="AB34" s="92">
        <f>(SUM(AB3:AB33)/D39)*C39</f>
        <v>0</v>
      </c>
      <c r="AC34" s="71"/>
      <c r="AD34" s="52">
        <f>SUM(AD3:AD33)</f>
        <v>738.99000000000012</v>
      </c>
      <c r="AE34" s="53">
        <f>SUM(AE3:AE33)</f>
        <v>5847</v>
      </c>
      <c r="AF34" s="92">
        <f>(SUM(AF3:AF33)/D39)*C39</f>
        <v>0</v>
      </c>
      <c r="AG34" s="71"/>
      <c r="AH34" s="59">
        <f>SUM(AH3:AH33)</f>
        <v>552.03</v>
      </c>
      <c r="AI34" s="53">
        <f>SUM(AI3:AI33)</f>
        <v>4285</v>
      </c>
      <c r="AJ34" s="92">
        <f>(SUM(AJ3:AJ33)/D39)*C39</f>
        <v>0</v>
      </c>
      <c r="AK34" s="71"/>
      <c r="AL34" s="52">
        <f>SUM(AL3:AL33)</f>
        <v>654.53000000000009</v>
      </c>
      <c r="AM34" s="53">
        <f>SUM(AM3:AM33)</f>
        <v>3992</v>
      </c>
      <c r="AN34" s="92">
        <f>(SUM(AN3:AN33)/D39)*C39</f>
        <v>0</v>
      </c>
      <c r="AO34" s="71"/>
      <c r="AP34" s="52">
        <f>SUM(AP3:AP33)</f>
        <v>593.42000000000007</v>
      </c>
      <c r="AQ34" s="53">
        <f>SUM(AQ3:AQ33)</f>
        <v>5204</v>
      </c>
      <c r="AR34" s="92">
        <f>(SUM(AR3:AR33)/D39)*C39</f>
        <v>13.200000000000001</v>
      </c>
      <c r="AS34" s="71"/>
      <c r="AT34" s="52">
        <f>SUM(AT3:AT33)</f>
        <v>583.04</v>
      </c>
      <c r="AU34" s="53">
        <f>SUM(AU3:AU33)</f>
        <v>2662</v>
      </c>
      <c r="AV34" s="92">
        <f>(SUM(AV3:AV33)/D39)*C39</f>
        <v>0</v>
      </c>
      <c r="AW34" s="73"/>
    </row>
    <row r="35" spans="1:49" s="57" customFormat="1" ht="11.25" x14ac:dyDescent="0.2">
      <c r="A35" s="51" t="s">
        <v>96</v>
      </c>
      <c r="B35" s="55">
        <f>B34</f>
        <v>382.29</v>
      </c>
      <c r="C35" s="56">
        <f>C34</f>
        <v>4623</v>
      </c>
      <c r="D35" s="93">
        <f>D34</f>
        <v>0</v>
      </c>
      <c r="E35" s="72"/>
      <c r="F35" s="55">
        <f>F34+B35</f>
        <v>743.26</v>
      </c>
      <c r="G35" s="56">
        <f>G34+C35</f>
        <v>7400</v>
      </c>
      <c r="H35" s="93">
        <f>H34+D35</f>
        <v>16</v>
      </c>
      <c r="I35" s="72"/>
      <c r="J35" s="55">
        <f>J34+F35</f>
        <v>1252.3699999999999</v>
      </c>
      <c r="K35" s="56">
        <f>K34+G35</f>
        <v>11731</v>
      </c>
      <c r="L35" s="93">
        <f>L34+H35</f>
        <v>16</v>
      </c>
      <c r="M35" s="72"/>
      <c r="N35" s="55">
        <f>N34+J35</f>
        <v>1963.8799999999999</v>
      </c>
      <c r="O35" s="56">
        <f>O34+K35</f>
        <v>18217</v>
      </c>
      <c r="P35" s="93">
        <f>P34+L35</f>
        <v>55.6</v>
      </c>
      <c r="Q35" s="72"/>
      <c r="R35" s="55">
        <f>R34+N35</f>
        <v>3005.99</v>
      </c>
      <c r="S35" s="56">
        <f>S34+O35</f>
        <v>26875</v>
      </c>
      <c r="T35" s="93">
        <f>T34+P35</f>
        <v>67.599999999999994</v>
      </c>
      <c r="U35" s="72"/>
      <c r="V35" s="55">
        <f>V34+R35</f>
        <v>3980.8699999999994</v>
      </c>
      <c r="W35" s="56">
        <f>W34+S35</f>
        <v>35843</v>
      </c>
      <c r="X35" s="93">
        <f>X34+T35</f>
        <v>67.599999999999994</v>
      </c>
      <c r="Y35" s="72"/>
      <c r="Z35" s="55">
        <f>Z34+V35</f>
        <v>4680.9799999999996</v>
      </c>
      <c r="AA35" s="56">
        <f>AA34+W35</f>
        <v>40760</v>
      </c>
      <c r="AB35" s="93">
        <f>AB34+X35</f>
        <v>67.599999999999994</v>
      </c>
      <c r="AC35" s="72"/>
      <c r="AD35" s="55">
        <f>AD34+Z35</f>
        <v>5419.9699999999993</v>
      </c>
      <c r="AE35" s="56">
        <f>AE34+AA35</f>
        <v>46607</v>
      </c>
      <c r="AF35" s="93">
        <f>AF34+AB35</f>
        <v>67.599999999999994</v>
      </c>
      <c r="AG35" s="72"/>
      <c r="AH35" s="100">
        <f>AH34+AD35</f>
        <v>5971.9999999999991</v>
      </c>
      <c r="AI35" s="56">
        <f>AI34+AE35</f>
        <v>50892</v>
      </c>
      <c r="AJ35" s="93">
        <f>AJ34+AF35</f>
        <v>67.599999999999994</v>
      </c>
      <c r="AK35" s="72"/>
      <c r="AL35" s="55">
        <f>AL34+AH35</f>
        <v>6626.5299999999988</v>
      </c>
      <c r="AM35" s="56">
        <f>AM34+AI35</f>
        <v>54884</v>
      </c>
      <c r="AN35" s="93">
        <f>AN34+AJ35</f>
        <v>67.599999999999994</v>
      </c>
      <c r="AO35" s="72"/>
      <c r="AP35" s="55">
        <f>AP34+AL35</f>
        <v>7219.9499999999989</v>
      </c>
      <c r="AQ35" s="56">
        <f>AQ34+AM35</f>
        <v>60088</v>
      </c>
      <c r="AR35" s="93">
        <f>AR34+AN35</f>
        <v>80.8</v>
      </c>
      <c r="AS35" s="72"/>
      <c r="AT35" s="55">
        <f>AT34+AP35</f>
        <v>7802.9899999999989</v>
      </c>
      <c r="AU35" s="56">
        <f>AU34+AQ35</f>
        <v>62750</v>
      </c>
      <c r="AV35" s="93">
        <f>AV34+AR35</f>
        <v>80.8</v>
      </c>
      <c r="AW35" s="106"/>
    </row>
    <row r="36" spans="1:49" s="54" customFormat="1" ht="11.25" x14ac:dyDescent="0.2">
      <c r="A36" s="54" t="s">
        <v>152</v>
      </c>
      <c r="B36" s="52">
        <f>MAX(B3:B33)</f>
        <v>31.4</v>
      </c>
      <c r="C36" s="60">
        <f>MAX(C3:C33)</f>
        <v>830</v>
      </c>
      <c r="D36" s="188">
        <f>MAX(D3:D33)</f>
        <v>0</v>
      </c>
      <c r="E36" s="73"/>
      <c r="F36" s="52">
        <f>MAX(F3:F33)</f>
        <v>26.5</v>
      </c>
      <c r="G36" s="60">
        <f>MAX(G3:G33)</f>
        <v>348</v>
      </c>
      <c r="H36" s="188">
        <f>MAX(H3:H33)</f>
        <v>2.7777777777777776E-2</v>
      </c>
      <c r="I36" s="73"/>
      <c r="J36" s="52">
        <f>MAX(J3:J33)</f>
        <v>70.38</v>
      </c>
      <c r="K36" s="60">
        <f>MAX(K3:K33)</f>
        <v>1018</v>
      </c>
      <c r="L36" s="188">
        <f>MAX(L3:L33)</f>
        <v>0</v>
      </c>
      <c r="M36" s="73"/>
      <c r="N36" s="52">
        <f>MAX(N3:N33)</f>
        <v>64.539999999999992</v>
      </c>
      <c r="O36" s="60">
        <f>MAX(O3:O33)</f>
        <v>1236</v>
      </c>
      <c r="P36" s="188">
        <f>MAX(P3:P33)</f>
        <v>4.4444444444444446E-2</v>
      </c>
      <c r="Q36" s="73"/>
      <c r="R36" s="52">
        <f>MAX(R3:R33)</f>
        <v>121.18</v>
      </c>
      <c r="S36" s="60">
        <f>MAX(S3:S33)</f>
        <v>1535</v>
      </c>
      <c r="T36" s="188">
        <f>MAX(T3:T33)</f>
        <v>2.0833333333333332E-2</v>
      </c>
      <c r="U36" s="73"/>
      <c r="V36" s="52">
        <f>MAX(V3:V33)</f>
        <v>111.31</v>
      </c>
      <c r="W36" s="60">
        <f>MAX(W3:W33)</f>
        <v>1460</v>
      </c>
      <c r="X36" s="188">
        <f>MAX(X3:X33)</f>
        <v>0</v>
      </c>
      <c r="Y36" s="73"/>
      <c r="Z36" s="52">
        <f>MAX(Z3:Z33)</f>
        <v>70.62</v>
      </c>
      <c r="AA36" s="60">
        <f>MAX(AA3:AA33)</f>
        <v>948</v>
      </c>
      <c r="AB36" s="188">
        <f>MAX(AB3:AB33)</f>
        <v>0</v>
      </c>
      <c r="AC36" s="73"/>
      <c r="AD36" s="52">
        <f>MAX(AD3:AD33)</f>
        <v>130</v>
      </c>
      <c r="AE36" s="60">
        <f>MAX(AE3:AE33)</f>
        <v>1311</v>
      </c>
      <c r="AF36" s="188">
        <f>MAX(AF3:AF33)</f>
        <v>0</v>
      </c>
      <c r="AG36" s="73"/>
      <c r="AH36" s="52">
        <f>MAX(AH3:AH33)</f>
        <v>63.83</v>
      </c>
      <c r="AI36" s="60">
        <f>MAX(AI3:AI33)</f>
        <v>755</v>
      </c>
      <c r="AJ36" s="188">
        <f>MAX(AJ3:AJ33)</f>
        <v>0</v>
      </c>
      <c r="AK36" s="73"/>
      <c r="AL36" s="52">
        <f>MAX(AL3:AL33)</f>
        <v>77.539999999999992</v>
      </c>
      <c r="AM36" s="60">
        <f>MAX(AM3:AM33)</f>
        <v>737</v>
      </c>
      <c r="AN36" s="188">
        <f>MAX(AN3:AN33)</f>
        <v>0</v>
      </c>
      <c r="AO36" s="73"/>
      <c r="AP36" s="52">
        <f>MAX(AP3:AP33)</f>
        <v>62.44</v>
      </c>
      <c r="AQ36" s="60">
        <f>MAX(AQ3:AQ33)</f>
        <v>1030</v>
      </c>
      <c r="AR36" s="188">
        <f>MAX(AR3:AR33)</f>
        <v>2.2916666666666669E-2</v>
      </c>
      <c r="AS36" s="73"/>
      <c r="AT36" s="52">
        <f>MAX(AT3:AT33)</f>
        <v>65.899999999999991</v>
      </c>
      <c r="AU36" s="60">
        <f>MAX(AU3:AU33)</f>
        <v>718</v>
      </c>
      <c r="AV36" s="188">
        <f>MAX(AV3:AV33)</f>
        <v>0</v>
      </c>
      <c r="AW36" s="73"/>
    </row>
    <row r="37" spans="1:49" s="54" customFormat="1" ht="11.25" x14ac:dyDescent="0.2">
      <c r="A37" s="54" t="s">
        <v>348</v>
      </c>
      <c r="B37" s="59">
        <f>IFERROR(AVERAGE(B3:B33),0)</f>
        <v>16.621304347826086</v>
      </c>
      <c r="C37" s="60">
        <f>IFERROR(AVERAGE(C3:C33),0)</f>
        <v>201</v>
      </c>
      <c r="D37" s="188">
        <f>IFERROR(AVERAGE(D3:D33),0)</f>
        <v>0</v>
      </c>
      <c r="E37" s="73"/>
      <c r="F37" s="59">
        <f>IFERROR(AVERAGE(F3:F33),0)</f>
        <v>13.369259259259261</v>
      </c>
      <c r="G37" s="60">
        <f>IFERROR(AVERAGE(G3:G33),0)</f>
        <v>102.85185185185185</v>
      </c>
      <c r="H37" s="188">
        <f>IFERROR(AVERAGE(H3:H33),0)</f>
        <v>2.7777777777777776E-2</v>
      </c>
      <c r="I37" s="73"/>
      <c r="J37" s="59">
        <f>IFERROR(AVERAGE(J3:J33),0)</f>
        <v>22.135217391304344</v>
      </c>
      <c r="K37" s="60">
        <f>IFERROR(AVERAGE(K3:K33),0)</f>
        <v>188.30434782608697</v>
      </c>
      <c r="L37" s="188">
        <f>IFERROR(AVERAGE(L3:L33),0)</f>
        <v>0</v>
      </c>
      <c r="M37" s="73"/>
      <c r="N37" s="59">
        <f>IFERROR(AVERAGE(N3:N33),0)</f>
        <v>26.35222222222222</v>
      </c>
      <c r="O37" s="60">
        <f>IFERROR(AVERAGE(O3:O33),0)</f>
        <v>240.22222222222223</v>
      </c>
      <c r="P37" s="188">
        <f>IFERROR(AVERAGE(P3:P33),0)</f>
        <v>3.4375000000000003E-2</v>
      </c>
      <c r="Q37" s="73"/>
      <c r="R37" s="59">
        <f>IFERROR(AVERAGE(R3:R33),0)</f>
        <v>33.616451612903226</v>
      </c>
      <c r="S37" s="60">
        <f>IFERROR(AVERAGE(S3:S33),0)</f>
        <v>279.29032258064518</v>
      </c>
      <c r="T37" s="188">
        <f>IFERROR(AVERAGE(T3:T33),0)</f>
        <v>2.0833333333333332E-2</v>
      </c>
      <c r="U37" s="73"/>
      <c r="V37" s="59">
        <f>IFERROR(AVERAGE(V3:V33),0)</f>
        <v>34.817142857142848</v>
      </c>
      <c r="W37" s="60">
        <f>IFERROR(AVERAGE(W3:W33),0)</f>
        <v>320.28571428571428</v>
      </c>
      <c r="X37" s="188">
        <f>IFERROR(AVERAGE(X3:X33),0)</f>
        <v>0</v>
      </c>
      <c r="Y37" s="73"/>
      <c r="Z37" s="59">
        <f>IFERROR(AVERAGE(Z3:Z33),0)</f>
        <v>22.584193548387095</v>
      </c>
      <c r="AA37" s="60">
        <f>IFERROR(AVERAGE(AA3:AA33),0)</f>
        <v>158.61290322580646</v>
      </c>
      <c r="AB37" s="188">
        <f>IFERROR(AVERAGE(AB3:AB33),0)</f>
        <v>0</v>
      </c>
      <c r="AC37" s="73"/>
      <c r="AD37" s="59">
        <f>IFERROR(AVERAGE(AD3:AD33),0)</f>
        <v>32.130000000000003</v>
      </c>
      <c r="AE37" s="60">
        <f>IFERROR(AVERAGE(AE3:AE33),0)</f>
        <v>254.21739130434781</v>
      </c>
      <c r="AF37" s="188">
        <f>IFERROR(AVERAGE(AF3:AF33),0)</f>
        <v>0</v>
      </c>
      <c r="AG37" s="73"/>
      <c r="AH37" s="59">
        <f>IFERROR(AVERAGE(AH3:AH33),0)</f>
        <v>21.231923076923074</v>
      </c>
      <c r="AI37" s="60">
        <f>IFERROR(AVERAGE(AI3:AI33),0)</f>
        <v>164.80769230769232</v>
      </c>
      <c r="AJ37" s="188">
        <f>IFERROR(AVERAGE(AJ3:AJ33),0)</f>
        <v>0</v>
      </c>
      <c r="AK37" s="73"/>
      <c r="AL37" s="59">
        <f>IFERROR(AVERAGE(AL3:AL33),0)</f>
        <v>21.113870967741939</v>
      </c>
      <c r="AM37" s="60">
        <f>IFERROR(AVERAGE(AM3:AM33),0)</f>
        <v>128.7741935483871</v>
      </c>
      <c r="AN37" s="188">
        <f>IFERROR(AVERAGE(AN3:AN33),0)</f>
        <v>0</v>
      </c>
      <c r="AO37" s="73"/>
      <c r="AP37" s="59">
        <f>IFERROR(AVERAGE(AP3:AP33),0)</f>
        <v>22.823846153846155</v>
      </c>
      <c r="AQ37" s="60">
        <f>IFERROR(AVERAGE(AQ3:AQ33),0)</f>
        <v>200.15384615384616</v>
      </c>
      <c r="AR37" s="188">
        <f>IFERROR(AVERAGE(AR3:AR33),0)</f>
        <v>2.2916666666666669E-2</v>
      </c>
      <c r="AS37" s="73"/>
      <c r="AT37" s="59">
        <f>IFERROR(AVERAGE(AT3:AT33),0)</f>
        <v>20.822857142857142</v>
      </c>
      <c r="AU37" s="60">
        <f>IFERROR(AVERAGE(AU3:AU33),0)</f>
        <v>95.071428571428569</v>
      </c>
      <c r="AV37" s="188">
        <f>IFERROR(AVERAGE(AV3:AV33),0)</f>
        <v>0</v>
      </c>
      <c r="AW37" s="73"/>
    </row>
    <row r="38" spans="1:49" s="54" customFormat="1" ht="11.25" x14ac:dyDescent="0.2">
      <c r="A38" s="54" t="s">
        <v>241</v>
      </c>
      <c r="B38" s="59">
        <f>B34-'14'!B34</f>
        <v>-163.97999999999996</v>
      </c>
      <c r="C38" s="91">
        <f>C34-'14'!C34</f>
        <v>-386</v>
      </c>
      <c r="D38" s="119">
        <f>IF(B34+D34=0,0,D34/(B34+D34))</f>
        <v>0</v>
      </c>
      <c r="E38" s="73"/>
      <c r="F38" s="59">
        <f>F34-'14'!F34</f>
        <v>-204.66000000000008</v>
      </c>
      <c r="G38" s="91">
        <f>G34-'14'!G34</f>
        <v>-2550</v>
      </c>
      <c r="H38" s="119">
        <f>IF(F34+H34=0,0,H34/(F34+H34))</f>
        <v>4.2443695784810456E-2</v>
      </c>
      <c r="I38" s="73"/>
      <c r="J38" s="59">
        <f>J34-'14'!J34</f>
        <v>-246.6400000000001</v>
      </c>
      <c r="K38" s="91">
        <f>K34-'14'!K34</f>
        <v>-2667</v>
      </c>
      <c r="L38" s="119">
        <f>IF(J34+L34=0,0,L34/(J34+L34))</f>
        <v>0</v>
      </c>
      <c r="M38" s="73"/>
      <c r="N38" s="59">
        <f>N34-'14'!N34</f>
        <v>45.234999999999786</v>
      </c>
      <c r="O38" s="91">
        <f>O34-'14'!O34</f>
        <v>-1620</v>
      </c>
      <c r="P38" s="119">
        <f>IF(N34+P34=0,0,P34/(N34+P34))</f>
        <v>5.2721971482206337E-2</v>
      </c>
      <c r="Q38" s="73"/>
      <c r="R38" s="59">
        <f>R34-'14'!R34</f>
        <v>251.72000000000014</v>
      </c>
      <c r="S38" s="91">
        <f>S34-'14'!S34</f>
        <v>31</v>
      </c>
      <c r="T38" s="119">
        <f>IF(R34+T34=0,0,T34/(R34+T34))</f>
        <v>1.1384011156330932E-2</v>
      </c>
      <c r="U38" s="73"/>
      <c r="V38" s="59">
        <f>V34-'14'!V34</f>
        <v>163.87999999999988</v>
      </c>
      <c r="W38" s="91">
        <f>W34-'14'!W34</f>
        <v>86</v>
      </c>
      <c r="X38" s="119">
        <f>IF(V34+X34=0,0,X34/(V34+X34))</f>
        <v>0</v>
      </c>
      <c r="Y38" s="73"/>
      <c r="Z38" s="59">
        <f>Z34-'14'!Z34</f>
        <v>34.675000000000068</v>
      </c>
      <c r="AA38" s="91">
        <f>AA34-'14'!AA34</f>
        <v>-3332</v>
      </c>
      <c r="AB38" s="119">
        <f>IF(Z34+AB34=0,0,AB34/(Z34+AB34))</f>
        <v>0</v>
      </c>
      <c r="AC38" s="73"/>
      <c r="AD38" s="59">
        <f>AD34-'14'!AD34</f>
        <v>24.800000000000068</v>
      </c>
      <c r="AE38" s="91">
        <f>AE34-'14'!AE34</f>
        <v>-5326</v>
      </c>
      <c r="AF38" s="119">
        <f>IF(AD34+AF34=0,0,AF34/(AD34+AF34))</f>
        <v>0</v>
      </c>
      <c r="AG38" s="73"/>
      <c r="AH38" s="59">
        <f>AH34-'14'!AH34</f>
        <v>-116.51999999999998</v>
      </c>
      <c r="AI38" s="91">
        <f>AI34-'14'!AI34</f>
        <v>-2396</v>
      </c>
      <c r="AJ38" s="119">
        <f>IF(AH34+AJ34=0,0,AJ34/(AH34+AJ34))</f>
        <v>0</v>
      </c>
      <c r="AK38" s="73"/>
      <c r="AL38" s="59">
        <f>AL34-'14'!AL34</f>
        <v>123.40999999999997</v>
      </c>
      <c r="AM38" s="91">
        <f>AM34-'14'!AM34</f>
        <v>-2135</v>
      </c>
      <c r="AN38" s="119">
        <f>IF(AL34+AN34=0,0,AN34/(AL34+AN34))</f>
        <v>0</v>
      </c>
      <c r="AO38" s="73"/>
      <c r="AP38" s="59">
        <f>AP34-'14'!AP34</f>
        <v>-236.91999999999996</v>
      </c>
      <c r="AQ38" s="91">
        <f>AQ34-'14'!AQ34</f>
        <v>-2299</v>
      </c>
      <c r="AR38" s="119">
        <f>IF(AP34+AR34=0,0,AR34/(AP34+AR34))</f>
        <v>2.1759915597903134E-2</v>
      </c>
      <c r="AS38" s="73"/>
      <c r="AT38" s="59">
        <f>AT34-'14'!AT34</f>
        <v>14.100000000000023</v>
      </c>
      <c r="AU38" s="91">
        <f>AU34-'14'!AU34</f>
        <v>-2769</v>
      </c>
      <c r="AV38" s="119">
        <f>IF(AT34+AV34=0,0,AV34/(AT34+AV34))</f>
        <v>0</v>
      </c>
      <c r="AW38" s="73"/>
    </row>
    <row r="39" spans="1:49" s="1" customFormat="1" x14ac:dyDescent="0.2">
      <c r="A39" s="51" t="s">
        <v>158</v>
      </c>
      <c r="B39" s="177" t="s">
        <v>242</v>
      </c>
      <c r="C39" s="178">
        <v>24</v>
      </c>
      <c r="D39" s="189">
        <v>4.1666666666666664E-2</v>
      </c>
      <c r="E39" s="205"/>
      <c r="G39" s="324"/>
      <c r="H39" s="206"/>
      <c r="I39" s="205"/>
      <c r="J39" s="55">
        <f>SUM(B34,F34,J34)</f>
        <v>1252.3699999999999</v>
      </c>
      <c r="K39" s="56">
        <f t="shared" ref="K39:L39" si="12">SUM(C34,G34,K34)</f>
        <v>11731</v>
      </c>
      <c r="L39" s="207">
        <f t="shared" si="12"/>
        <v>16</v>
      </c>
      <c r="M39" s="205"/>
      <c r="P39" s="206"/>
      <c r="Q39" s="205"/>
      <c r="T39" s="206"/>
      <c r="U39" s="205"/>
      <c r="V39" s="55">
        <f>SUM(N34,R34,V34)</f>
        <v>2728.5</v>
      </c>
      <c r="W39" s="56">
        <f>SUM(O34,S34,W34)</f>
        <v>24112</v>
      </c>
      <c r="X39" s="207">
        <f>SUM(P34,T34,X34)</f>
        <v>51.6</v>
      </c>
      <c r="Y39" s="205"/>
      <c r="AB39" s="206"/>
      <c r="AC39" s="205"/>
      <c r="AF39" s="206"/>
      <c r="AG39" s="205"/>
      <c r="AH39" s="100">
        <f>SUM(Z34,AD34,AH34)</f>
        <v>1991.1299999999999</v>
      </c>
      <c r="AI39" s="56">
        <f>SUM(AA34,AE34,AI34)</f>
        <v>15049</v>
      </c>
      <c r="AJ39" s="207">
        <f>SUM(AB34,AF34,AJ34)</f>
        <v>0</v>
      </c>
      <c r="AK39" s="205"/>
      <c r="AN39" s="206"/>
      <c r="AO39" s="205"/>
      <c r="AR39" s="206"/>
      <c r="AS39" s="205"/>
      <c r="AT39" s="55">
        <f>SUM(AL34,AP34,AT34)</f>
        <v>1830.9900000000002</v>
      </c>
      <c r="AU39" s="56">
        <f>SUM(AM34,AQ34,AU34)</f>
        <v>11858</v>
      </c>
      <c r="AV39" s="207">
        <f>SUM(AN34,AR34,AV34)</f>
        <v>13.200000000000001</v>
      </c>
      <c r="AW39" s="205"/>
    </row>
    <row r="40" spans="1:49" s="54" customFormat="1" ht="11.25" x14ac:dyDescent="0.2">
      <c r="A40" s="54" t="s">
        <v>347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17.375260332796564</v>
      </c>
      <c r="K40" s="60">
        <f>IFERROR(AVERAGE(C37,G37,K37),0)</f>
        <v>164.05206655931295</v>
      </c>
      <c r="L40" s="188">
        <f>IFERROR(AVERAGE(D37,H37,L37),0)</f>
        <v>9.2592592592592587E-3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31.595272230756098</v>
      </c>
      <c r="W40" s="60">
        <f>IFERROR(AVERAGE(O37,S37,W37),0)</f>
        <v>279.93275302952725</v>
      </c>
      <c r="X40" s="188">
        <f>IFERROR(AVERAGE(P37,T37,X37),0)</f>
        <v>1.8402777777777778E-2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25.315372208436724</v>
      </c>
      <c r="AI40" s="60">
        <f>IFERROR(AVERAGE(AA37,AE37,AI37),0)</f>
        <v>192.54599561261554</v>
      </c>
      <c r="AJ40" s="188">
        <f>IFERROR(AVERAGE(AB37,AF37,AJ37),0)</f>
        <v>0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21.586858088148414</v>
      </c>
      <c r="AU40" s="60">
        <f>IFERROR(AVERAGE(AM37,AQ37,AU37),0)</f>
        <v>141.33315609122062</v>
      </c>
      <c r="AV40" s="188">
        <f>IFERROR(AVERAGE(AN37,AR37,AV37),0)</f>
        <v>7.6388888888888895E-3</v>
      </c>
      <c r="AW40" s="73"/>
    </row>
    <row r="41" spans="1:49" s="118" customFormat="1" ht="11.25" x14ac:dyDescent="0.2">
      <c r="A41" s="115" t="s">
        <v>225</v>
      </c>
      <c r="B41" s="109">
        <f>RANK(B34,(B34,F34,J34,N34,R34,V34,Z34,AD34,AH34,AL34,AP34,AT34))</f>
        <v>11</v>
      </c>
      <c r="C41" s="110">
        <f>RANK(C34,(C34,G34,K34,O34,S34,W34,AA34,AE34,AI34,AM34,AQ34,AU34))</f>
        <v>7</v>
      </c>
      <c r="D41" s="116">
        <f>RANK(D34,(D34,H34,L34,P34,T34,X34,AB34,AF34,AJ34,AN34,AR34,AV34))</f>
        <v>5</v>
      </c>
      <c r="E41" s="117"/>
      <c r="F41" s="109">
        <f>RANK(F34,(B34,F34,J34,N34,R34,V34,Z34,AD34,AH34,AL34,AP34,AT34))</f>
        <v>12</v>
      </c>
      <c r="G41" s="110">
        <f>RANK(G34,(C34,G34,K34,O34,S34,W34,AA34,AE34,AI34,AM34,AQ34,AU34))</f>
        <v>11</v>
      </c>
      <c r="H41" s="116">
        <f>RANK(H34,(D34,H34,L34,P34,T34,X34,AB34,AF34,AJ34,AN34,AR34,AV34))</f>
        <v>2</v>
      </c>
      <c r="I41" s="117"/>
      <c r="J41" s="109">
        <f>RANK(J34,(B34,F34,J34,N34,R34,V34,Z34,AD34,AH34,AL34,AP34,AT34))</f>
        <v>10</v>
      </c>
      <c r="K41" s="110">
        <f>RANK(K34,(C34,G34,K34,O34,S34,W34,AA34,AE34,AI34,AM34,AQ34,AU34))</f>
        <v>8</v>
      </c>
      <c r="L41" s="116">
        <f>RANK(L34,(D34,H34,L34,P34,T34,X34,AB34,AF34,AJ34,AN34,AR34,AV34))</f>
        <v>5</v>
      </c>
      <c r="M41" s="117"/>
      <c r="N41" s="109">
        <f>RANK(N34,(B34,F34,J34,N34,R34,V34,Z34,AD34,AH34,AL34,AP34,AT34))</f>
        <v>4</v>
      </c>
      <c r="O41" s="110">
        <f>RANK(O34,(C34,G34,K34,O34,S34,W34,AA34,AE34,AI34,AM34,AQ34,AU34))</f>
        <v>3</v>
      </c>
      <c r="P41" s="116">
        <f>RANK(P34,(D34,H34,L34,P34,T34,X34,AB34,AF34,AJ34,AN34,AR34,AV34))</f>
        <v>1</v>
      </c>
      <c r="Q41" s="117"/>
      <c r="R41" s="109">
        <f>RANK(R34,(B34,F34,J34,N34,R34,V34,Z34,AD34,AH34,AL34,AP34,AT34))</f>
        <v>1</v>
      </c>
      <c r="S41" s="110">
        <f>RANK(S34,(C34,G34,K34,O34,S34,W34,AA34,AE34,AI34,AM34,AQ34,AU34))</f>
        <v>2</v>
      </c>
      <c r="T41" s="116">
        <f>RANK(T34,(D34,H34,L34,P34,T34,X34,AB34,AF34,AJ34,AN34,AR34,AV34))</f>
        <v>4</v>
      </c>
      <c r="U41" s="117"/>
      <c r="V41" s="109">
        <f>RANK(V34,(B34,F34,J34,N34,R34,V34,Z34,AD34,AH34,AL34,AP34,AT34))</f>
        <v>2</v>
      </c>
      <c r="W41" s="110">
        <f>RANK(W34,(C34,G34,K34,O34,S34,W34,AA34,AE34,AI34,AM34,AQ34,AU34))</f>
        <v>1</v>
      </c>
      <c r="X41" s="116">
        <f>RANK(X34,(D34,H34,L34,P34,T34,X34,AB34,AF34,AJ34,AN34,AR34,AV34))</f>
        <v>5</v>
      </c>
      <c r="Y41" s="117"/>
      <c r="Z41" s="109">
        <f>RANK(Z34,(B34,F34,J34,N34,R34,V34,Z34,AD34,AH34,AL34,AP34,AT34))</f>
        <v>5</v>
      </c>
      <c r="AA41" s="110">
        <f>RANK(AA34,(C34,G34,K34,O34,S34,W34,AA34,AE34,AI34,AM34,AQ34,AU34))</f>
        <v>6</v>
      </c>
      <c r="AB41" s="116">
        <f>RANK(AB34,(D34,H34,L34,P34,T34,X34,AB34,AF34,AJ34,AN34,AR34,AV34))</f>
        <v>5</v>
      </c>
      <c r="AC41" s="117"/>
      <c r="AD41" s="109">
        <f>RANK(AD34,(B34,F34,J34,N34,R34,V34,Z34,AD34,AH34,AL34,AP34,AT34))</f>
        <v>3</v>
      </c>
      <c r="AE41" s="110">
        <f>RANK(AE34,(C34,G34,K34,O34,S34,W34,AA34,AE34,AI34,AM34,AQ34,AU34))</f>
        <v>4</v>
      </c>
      <c r="AF41" s="116">
        <f>RANK(AF34,(D34,H34,L34,P34,T34,X34,AB34,AF34,AJ34,AN34,AR34,AV34))</f>
        <v>5</v>
      </c>
      <c r="AG41" s="117"/>
      <c r="AH41" s="109">
        <f>RANK(AH34,(B34,F34,J34,N34,R34,V34,Z34,AD34,AH34,AL34,AP34,AT34))</f>
        <v>9</v>
      </c>
      <c r="AI41" s="110">
        <f>RANK(AI34,(C34,G34,K34,O34,S34,W34,AA34,AE34,AI34,AM34,AQ34,AU34))</f>
        <v>9</v>
      </c>
      <c r="AJ41" s="116">
        <f>RANK(AJ34,(D34,H34,L34,P34,T34,X34,AB34,AF34,AJ34,AN34,AR34,AV34))</f>
        <v>5</v>
      </c>
      <c r="AK41" s="117"/>
      <c r="AL41" s="109">
        <f>RANK(AL34,(B34,F34,J34,N34,R34,V34,Z34,AD34,AH34,AL34,AP34,AT34))</f>
        <v>6</v>
      </c>
      <c r="AM41" s="110">
        <f>RANK(AM34,(C34,G34,K34,O34,S34,W34,AA34,AE34,AI34,AM34,AQ34,AU34))</f>
        <v>10</v>
      </c>
      <c r="AN41" s="116">
        <f>RANK(AN34,(D34,H34,L34,P34,T34,X34,AB34,AF34,AJ34,AN34,AR34,AV34))</f>
        <v>5</v>
      </c>
      <c r="AO41" s="117"/>
      <c r="AP41" s="109">
        <f>RANK(AP34,(B34,F34,J34,N34,R34,V34,Z34,AD34,AH34,AL34,AP34,AT34))</f>
        <v>7</v>
      </c>
      <c r="AQ41" s="110">
        <f>RANK(AQ34,(C34,G34,K34,O34,S34,W34,AA34,AE34,AI34,AM34,AQ34,AU34))</f>
        <v>5</v>
      </c>
      <c r="AR41" s="116">
        <f>RANK(AR34,(D34,H34,L34,P34,T34,X34,AB34,AF34,AJ34,AN34,AR34,AV34))</f>
        <v>3</v>
      </c>
      <c r="AS41" s="117"/>
      <c r="AT41" s="109">
        <f>RANK(AT34,(B34,F34,J34,N34,R34,V34,Z34,AD34,AH34,AL34,AP34,AT34))</f>
        <v>8</v>
      </c>
      <c r="AU41" s="110">
        <f>RANK(AU34,(C34,G34,K34,O34,S34,W34,AA34,AE34,AI34,AM34,AQ34,AU34))</f>
        <v>12</v>
      </c>
      <c r="AV41" s="116">
        <f>RANK(AV34,(D34,H34,L34,P34,T34,X34,AB34,AF34,AJ34,AN34,AR34,AV34))</f>
        <v>5</v>
      </c>
      <c r="AW41" s="122"/>
    </row>
    <row r="42" spans="1:49" s="54" customFormat="1" ht="11.25" x14ac:dyDescent="0.2">
      <c r="A42" s="57" t="s">
        <v>218</v>
      </c>
      <c r="B42" s="100">
        <f>T1</f>
        <v>23.968190715034449</v>
      </c>
      <c r="C42" s="101">
        <f>AB1</f>
        <v>194.46599282316905</v>
      </c>
      <c r="D42" s="102"/>
      <c r="E42" s="214" t="s">
        <v>404</v>
      </c>
      <c r="F42" s="215">
        <f>SUM(J23:J33,N3:N33,R3:R33,V3:V33,Z3:Z33,AD3:AD33,AH3:AH23)</f>
        <v>4688.1700000000019</v>
      </c>
      <c r="G42" s="216">
        <f>SUM(K23:K33,O3:O32,S3:S33,W3:W32,AA3:AA33,AE3:AE33,AI3:AI23)</f>
        <v>39624</v>
      </c>
      <c r="H42" s="217"/>
      <c r="I42" s="217"/>
      <c r="J42" s="218">
        <f>IFERROR(F42/(F42+F43),0)</f>
        <v>0.60081712266708054</v>
      </c>
      <c r="K42" s="218">
        <f>IFERROR(G42/(G42+G43),0)</f>
        <v>0.63145816733067728</v>
      </c>
      <c r="L42" s="217"/>
      <c r="M42" s="309" t="s">
        <v>606</v>
      </c>
      <c r="N42" s="307">
        <v>67</v>
      </c>
      <c r="Y42" s="173"/>
      <c r="AK42" s="255" t="s">
        <v>484</v>
      </c>
      <c r="AL42" s="52">
        <f>MAX(B34,F34,J34,N34,R34,V34,Z34,AD34,AH34,AL34,AP34,AT34)</f>
        <v>1042.1100000000001</v>
      </c>
      <c r="AM42" s="256">
        <f>MAX(C34,G34,K34,O34,S34,W34,AA34,AE34,AI34,AM34,AQ34,AU34)</f>
        <v>8968</v>
      </c>
      <c r="AN42" s="54" t="s">
        <v>351</v>
      </c>
      <c r="AO42" s="253" t="s">
        <v>349</v>
      </c>
      <c r="AP42" s="59">
        <f>R1-'14'!R1</f>
        <v>-170.15000000000009</v>
      </c>
      <c r="AQ42" s="91">
        <f>AF1-'14'!AF1</f>
        <v>-2347</v>
      </c>
      <c r="AR42" s="54" t="s">
        <v>350</v>
      </c>
      <c r="AS42" s="252" t="s">
        <v>349</v>
      </c>
      <c r="AT42" s="59">
        <f>I1-'14'!I1</f>
        <v>-24.47999999999999</v>
      </c>
      <c r="AU42" s="91">
        <f>AN1-'14'!AN1</f>
        <v>-17</v>
      </c>
      <c r="AV42" s="54" t="s">
        <v>351</v>
      </c>
      <c r="AW42" s="73"/>
    </row>
    <row r="43" spans="1:49" s="54" customFormat="1" ht="11.25" x14ac:dyDescent="0.2">
      <c r="A43" s="57" t="s">
        <v>219</v>
      </c>
      <c r="B43" s="100">
        <f>E1/365</f>
        <v>21.378054794520544</v>
      </c>
      <c r="C43" s="101">
        <f>AU1/365</f>
        <v>171.91780821917808</v>
      </c>
      <c r="D43" s="102"/>
      <c r="E43" s="210" t="s">
        <v>405</v>
      </c>
      <c r="F43" s="211">
        <f>E1-F42</f>
        <v>3114.819999999997</v>
      </c>
      <c r="G43" s="212">
        <f>AU1-G42</f>
        <v>23126</v>
      </c>
      <c r="H43" s="213"/>
      <c r="I43" s="213"/>
      <c r="J43" s="219">
        <f>IFERROR(F43/(F42+F43),0)</f>
        <v>0.39918287733291946</v>
      </c>
      <c r="K43" s="219">
        <f>IFERROR(G43/(G42+G43),0)</f>
        <v>0.36854183266932272</v>
      </c>
      <c r="L43" s="213"/>
      <c r="M43" s="71" t="s">
        <v>607</v>
      </c>
      <c r="N43" s="308">
        <v>4</v>
      </c>
      <c r="Y43" s="73"/>
      <c r="AK43" s="257" t="s">
        <v>487</v>
      </c>
      <c r="AL43" s="228">
        <f>IF($B$1&lt;&gt;0,$AV$35/$B1,0)</f>
        <v>1.0248877760569474E-2</v>
      </c>
      <c r="AO43" s="254" t="s">
        <v>349</v>
      </c>
      <c r="AP43" s="59">
        <f>AV35-'14'!AV35</f>
        <v>-254.8</v>
      </c>
      <c r="AQ43" s="228">
        <f>AL43-'14'!AL43</f>
        <v>-2.9469495774401291E-2</v>
      </c>
      <c r="AR43" s="54" t="s">
        <v>208</v>
      </c>
      <c r="AS43" s="252" t="s">
        <v>349</v>
      </c>
      <c r="AT43" s="59">
        <f>B1-'14'!B1</f>
        <v>-565.69999999999891</v>
      </c>
      <c r="AU43" s="91">
        <f>AU1-'14'!AU1</f>
        <v>-25363</v>
      </c>
      <c r="AV43" s="54" t="s">
        <v>352</v>
      </c>
      <c r="AW43" s="73"/>
    </row>
  </sheetData>
  <sheetProtection password="CC70" sheet="1" objects="1" scenarios="1"/>
  <mergeCells count="19"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  <mergeCell ref="AU1:AV1"/>
    <mergeCell ref="AH1:AI1"/>
    <mergeCell ref="AJ1:AK1"/>
    <mergeCell ref="AL1:AM1"/>
    <mergeCell ref="AN1:AO1"/>
    <mergeCell ref="AP1:AQ1"/>
    <mergeCell ref="AR1:AS1"/>
  </mergeCells>
  <conditionalFormatting sqref="B34 F34 J34 N34 R34 V34 Z34 AD34 AH34 AL34 AP34 AT34">
    <cfRule type="cellIs" dxfId="393" priority="95" operator="equal">
      <formula>$R$1</formula>
    </cfRule>
    <cfRule type="cellIs" dxfId="392" priority="96" operator="equal">
      <formula>$M$1</formula>
    </cfRule>
  </conditionalFormatting>
  <conditionalFormatting sqref="C34 G34 K34 O34 S34 W34 AA34 AE34 AI34 AM34 AQ34 AU34">
    <cfRule type="cellIs" dxfId="391" priority="94" operator="equal">
      <formula>$AF$1</formula>
    </cfRule>
    <cfRule type="cellIs" dxfId="390" priority="97" operator="equal">
      <formula>$AJ$1</formula>
    </cfRule>
  </conditionalFormatting>
  <conditionalFormatting sqref="B38:C38 AT42:AU43 AP42:AQ42 F38:G38 J38:K38 N38:O38 R38:S38 V38:W38 Z38:AA38 AD38:AE38 AH38:AI38 AL38:AM38 AP38:AQ38 AT38:AU38">
    <cfRule type="cellIs" dxfId="389" priority="91" operator="lessThan">
      <formula>0</formula>
    </cfRule>
    <cfRule type="cellIs" dxfId="388" priority="92" operator="greaterThanOrEqual">
      <formula>0</formula>
    </cfRule>
  </conditionalFormatting>
  <conditionalFormatting sqref="C38 AU42:AU43 AQ42 G38 K38 O38 S38 W38 AA38 AE38 AI38 AM38 AQ38 AU38">
    <cfRule type="cellIs" dxfId="387" priority="89" operator="lessThan">
      <formula>0</formula>
    </cfRule>
    <cfRule type="cellIs" dxfId="386" priority="90" operator="greaterThanOrEqual">
      <formula>0</formula>
    </cfRule>
  </conditionalFormatting>
  <conditionalFormatting sqref="D38">
    <cfRule type="cellIs" dxfId="385" priority="82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384" priority="81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383" priority="80" operator="equal">
      <formula>MAX($D$34,$H$34,$L$34,$P$34,$T$34,$X$34,$AB$34,$AF$34,$AJ$34,$AN$34,$AR$34,$AV$34)</formula>
    </cfRule>
  </conditionalFormatting>
  <conditionalFormatting sqref="H3:H33 L3:L33 P3:P33 T3:T33 X3:X33 AB3:AB33 AF3:AF33 AJ3:AJ33 AN3:AN33 AR3:AR33 AV3:AV33 D3:D33">
    <cfRule type="cellIs" dxfId="382" priority="77" stopIfTrue="1" operator="between">
      <formula>0</formula>
      <formula>0.0416550925925926</formula>
    </cfRule>
    <cfRule type="cellIs" dxfId="381" priority="78" stopIfTrue="1" operator="between">
      <formula>0.0416666666666667</formula>
      <formula>0.0833217592592593</formula>
    </cfRule>
    <cfRule type="cellIs" dxfId="380" priority="79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379" priority="65" operator="equal">
      <formula>MAX($D$36,$H$36,$L$36,$P$36,$T$36,$X$36,$AB$36,$AF$36,$AJ$36,$AN$36,$AR$36,$AV$36)</formula>
    </cfRule>
  </conditionalFormatting>
  <conditionalFormatting sqref="AP43">
    <cfRule type="cellIs" dxfId="378" priority="63" operator="lessThan">
      <formula>0</formula>
    </cfRule>
    <cfRule type="cellIs" dxfId="377" priority="64" operator="greaterThanOrEqual">
      <formula>0</formula>
    </cfRule>
  </conditionalFormatting>
  <conditionalFormatting sqref="B3:B33 F3:F33 J3:J33 N3:N33 R3:R33 V3:V33 Z3:Z33 AT3:AT33 AH3:AH33 AL3:AL33 AP3:AP33 AD3:AD33">
    <cfRule type="cellIs" dxfId="376" priority="86" stopIfTrue="1" operator="lessThan">
      <formula>50</formula>
    </cfRule>
    <cfRule type="cellIs" dxfId="375" priority="87" stopIfTrue="1" operator="greaterThanOrEqual">
      <formula>100</formula>
    </cfRule>
    <cfRule type="cellIs" dxfId="374" priority="88" operator="greaterThanOrEqual">
      <formula>50</formula>
    </cfRule>
  </conditionalFormatting>
  <conditionalFormatting sqref="C3:C33 G3:G33 K3:K33 O3:O33 S3:S33 W3:W33 AA3:AA33 AU3:AU33 AI3:AI33 AM3:AM33 AQ3:AQ33 AE3:AE33">
    <cfRule type="cellIs" dxfId="373" priority="83" stopIfTrue="1" operator="between">
      <formula>0</formula>
      <formula>749.99</formula>
    </cfRule>
    <cfRule type="cellIs" dxfId="372" priority="84" stopIfTrue="1" operator="greaterThanOrEqual">
      <formula>1500</formula>
    </cfRule>
    <cfRule type="cellIs" dxfId="371" priority="85" operator="greaterThanOrEqual">
      <formula>750</formula>
    </cfRule>
  </conditionalFormatting>
  <conditionalFormatting sqref="AQ43">
    <cfRule type="cellIs" dxfId="370" priority="61" stopIfTrue="1" operator="lessThan">
      <formula>0</formula>
    </cfRule>
    <cfRule type="cellIs" dxfId="369" priority="62" operator="greaterThanOrEqual">
      <formula>0</formula>
    </cfRule>
  </conditionalFormatting>
  <conditionalFormatting sqref="AL42">
    <cfRule type="cellIs" dxfId="368" priority="56" stopIfTrue="1" operator="lessThan">
      <formula>1000</formula>
    </cfRule>
    <cfRule type="cellIs" dxfId="367" priority="57" stopIfTrue="1" operator="lessThan">
      <formula>1100</formula>
    </cfRule>
    <cfRule type="cellIs" dxfId="366" priority="58" stopIfTrue="1" operator="lessThan">
      <formula>9999</formula>
    </cfRule>
  </conditionalFormatting>
  <conditionalFormatting sqref="AM42">
    <cfRule type="cellIs" dxfId="365" priority="53" stopIfTrue="1" operator="lessThan">
      <formula>10000</formula>
    </cfRule>
    <cfRule type="cellIs" dxfId="364" priority="54" stopIfTrue="1" operator="lessThan">
      <formula>13000</formula>
    </cfRule>
    <cfRule type="cellIs" dxfId="363" priority="55" stopIfTrue="1" operator="lessThan">
      <formula>99999</formula>
    </cfRule>
  </conditionalFormatting>
  <conditionalFormatting sqref="AL43">
    <cfRule type="cellIs" dxfId="362" priority="50" stopIfTrue="1" operator="lessThan">
      <formula>0.05</formula>
    </cfRule>
    <cfRule type="cellIs" dxfId="361" priority="51" stopIfTrue="1" operator="lessThan">
      <formula>0.1</formula>
    </cfRule>
    <cfRule type="cellIs" dxfId="360" priority="52" stopIfTrue="1" operator="lessThanOrEqual">
      <formula>1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5" operator="equal" id="{2205FE9D-C994-4507-BF04-0CF444616780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36" operator="equal" id="{B77D5B77-27BA-4DDC-8D98-F9C903D3FDD4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76" operator="equal" id="{9E156CF3-5673-445E-93E6-04FD72246B2A}">
            <xm:f>MAX( '13'!$C$34,$C$34)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75" operator="equal" id="{695412C2-E814-4088-9883-0B8A25401176}">
            <xm:f>MAX( '14'!$G$34,$G$34)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74" operator="equal" id="{09F35AD1-1AE5-47EE-BCED-470B93C14C1D}">
            <xm:f>MAX( '14'!$K$34,$K$34)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73" operator="equal" id="{5FA6F456-323D-45AD-BD7D-209035B9C72F}">
            <xm:f>MAX( '12'!$O$34,$O$34)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72" operator="equal" id="{57847E89-A891-4F98-932B-38E1DECAAC5E}">
            <xm:f>MAX( '12'!$S$34,$S$34)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71" operator="equal" id="{533E9845-2439-47E4-8767-C9858F83F8A4}">
            <xm:f>MAX( '13'!$W$34,$W$34)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70" operator="equal" id="{E0AE059B-D6A0-47EC-AAF1-DB7DEEF1B5B3}">
            <xm:f>MAX( '13'!$AA$34,$AA$34)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69" operator="equal" id="{A35F4188-50A8-4062-B8A0-E58E7EA984EC}">
            <xm:f>MAX( '12'!$AE$34,$AE$34)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68" operator="equal" id="{80659EAF-DB7E-4637-8E12-174E54CEB1B4}">
            <xm:f>MAX( 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67" operator="equal" id="{5D88294B-35C5-4770-B3D5-6F1E4AA129A2}">
            <xm:f>MAX( 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66" operator="equal" id="{25E296A6-28F8-464D-BE2C-E66E29DE5F87}">
            <xm:f>MAX( '14'!$AQ$34,$AQ$34)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93" operator="equal" id="{AD9C6344-075E-45DA-A889-D4B2206AEEF9}">
            <xm:f>MAX( '14'!$AU$34,$AU$34)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45" operator="equal" id="{EC1D1CA0-1843-40A0-9FF8-E4A237CCE3E4}">
            <xm:f>MAX( 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60" operator="equal" id="{3BA0DB74-61AE-4A5F-991C-685E5ADFF564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59" operator="equal" id="{ABCF77D6-8563-4BCD-9592-F4AABE154AE4}">
            <xm:f>stat!$S$5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49" operator="equal" id="{1D92888A-DD1E-4ACB-A1C4-8D891203F802}">
            <xm:f>MAX($B$1,'12'!$B$1:$C$1)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48" operator="equal" id="{F1AE0230-18E4-44FA-A7DE-223C69BA63B3}">
            <xm:f>MAX( '14'!$B$34,$B$34)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47" operator="equal" id="{67571C7D-0FDE-4797-804F-2671D8DA0DB9}">
            <xm:f>MAX( '14'!$F$34,$F$34)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46" operator="equal" id="{7ECA61F3-D584-4A03-9CFA-62A782EE00C1}">
            <xm:f>MAX( '14'!$J$34,$J$34)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44" operator="equal" id="{942CFCC2-98BC-4615-B6CF-5D3283C64B37}">
            <xm:f>MAX( '12'!$R$34,$R$34)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43" operator="equal" id="{63A6CA25-AAA8-48AC-B499-0F623CBB48B1}">
            <xm:f>MAX('08'!$Q$34,$V$34)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42" operator="equal" id="{1AF807A4-6E35-4F5C-BDFD-9F2705C50D92}">
            <xm:f>MAX( '12'!$Z$34,$Z$34)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41" operator="equal" id="{EAA87A5B-6B7A-464C-A989-867D8CA81069}">
            <xm:f>MAX( '12'!$AD$34,$AD$34)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40" operator="equal" id="{A114C6CE-2D20-4456-9F94-9FC777FCD310}">
            <xm:f>MAX( '13'!$AH$34,$AH$34)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39" operator="equal" id="{527ECC33-7415-4250-9A6B-AC5DD65A37FA}">
            <xm:f>MAX( '13'!$AL$34,$AL$34)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38" operator="equal" id="{3CA3796C-E7E1-4FE0-A49C-064A880235A0}">
            <xm:f>MAX( '14'!$AP$34,$AP$34)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37" operator="equal" id="{55A93939-B411-4883-9739-946D72292A3A}">
            <xm:f>MAX( '14'!$AT$34,$AT$34)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34" operator="equal" id="{E9189052-9952-4FF6-B757-1D68E7947EDE}">
            <xm:f>MAX($E$1,'12'!$E$1:$F$1)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33" operator="equal" id="{428CACA7-8A45-41F4-A2EC-2D113FB994FD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32" operator="equal" id="{E24A553E-0CA5-4AA8-8560-BC61F651DE19}">
            <xm:f>stat!$N$12</xm:f>
            <x14:dxf>
              <font>
                <b val="0"/>
                <i/>
              </font>
            </x14:dxf>
          </x14:cfRule>
          <xm:sqref>N42</xm:sqref>
        </x14:conditionalFormatting>
        <x14:conditionalFormatting xmlns:xm="http://schemas.microsoft.com/office/excel/2006/main">
          <x14:cfRule type="cellIs" priority="31" operator="equal" id="{2D08D5EE-2184-40EB-A59A-9BD5C36B8B79}">
            <xm:f>stat!$N$14</xm:f>
            <x14:dxf>
              <font>
                <b val="0"/>
                <i/>
              </font>
            </x14:dxf>
          </x14:cfRule>
          <xm:sqref>N43</xm:sqref>
        </x14:conditionalFormatting>
        <x14:conditionalFormatting xmlns:xm="http://schemas.microsoft.com/office/excel/2006/main">
          <x14:cfRule type="cellIs" priority="28" operator="equal" id="{26C2E160-F36E-4B10-95FC-7BB5D6765566}">
            <xm:f>MAX( '14'!$AT$36,$AT$36)</xm:f>
            <x14:dxf>
              <font>
                <b val="0"/>
                <i/>
              </font>
            </x14:dxf>
          </x14:cfRule>
          <xm:sqref>AT36</xm:sqref>
        </x14:conditionalFormatting>
        <x14:conditionalFormatting xmlns:xm="http://schemas.microsoft.com/office/excel/2006/main">
          <x14:cfRule type="cellIs" priority="24" operator="equal" id="{40CADFB1-A260-49C3-B162-925F5F869115}">
            <xm:f>MAX( '08'!$AJ$37,$AU$36)</xm:f>
            <x14:dxf>
              <font>
                <b val="0"/>
                <i/>
              </font>
            </x14:dxf>
          </x14:cfRule>
          <xm:sqref>AU36</xm:sqref>
        </x14:conditionalFormatting>
        <x14:conditionalFormatting xmlns:xm="http://schemas.microsoft.com/office/excel/2006/main">
          <x14:cfRule type="cellIs" priority="22" operator="equal" id="{03FFCCBE-B05E-4091-832B-605BA51A3B8E}">
            <xm:f>MAX( '14'!$AQ$36,$AQ$36)</xm:f>
            <x14:dxf>
              <font>
                <b val="0"/>
                <i/>
              </font>
            </x14:dxf>
          </x14:cfRule>
          <xm:sqref>AQ36</xm:sqref>
        </x14:conditionalFormatting>
        <x14:conditionalFormatting xmlns:xm="http://schemas.microsoft.com/office/excel/2006/main">
          <x14:cfRule type="cellIs" priority="21" operator="equal" id="{F1BE93EB-CD2A-428C-B28A-9AC5796F7567}">
            <xm:f>MAX('08'!$AF$37,$AP$36)</xm:f>
            <x14:dxf>
              <font>
                <b val="0"/>
                <i/>
              </font>
            </x14:dxf>
          </x14:cfRule>
          <xm:sqref>AP36</xm:sqref>
        </x14:conditionalFormatting>
        <x14:conditionalFormatting xmlns:xm="http://schemas.microsoft.com/office/excel/2006/main">
          <x14:cfRule type="cellIs" priority="20" operator="equal" id="{D78A9767-21E5-440B-94A5-F0F73AEE08EC}">
            <xm:f>MAX('14'!$AM$36,$AM$36)</xm:f>
            <x14:dxf>
              <font>
                <b val="0"/>
                <i/>
              </font>
            </x14:dxf>
          </x14:cfRule>
          <xm:sqref>AM36</xm:sqref>
        </x14:conditionalFormatting>
        <x14:conditionalFormatting xmlns:xm="http://schemas.microsoft.com/office/excel/2006/main">
          <x14:cfRule type="cellIs" priority="19" operator="equal" id="{6323AEEF-DA42-4F34-886D-D90257E9AC18}">
            <xm:f>MAX('09'!$AL$36,$AL$36)</xm:f>
            <x14:dxf>
              <font>
                <b val="0"/>
                <i/>
              </font>
            </x14:dxf>
          </x14:cfRule>
          <xm:sqref>AL36</xm:sqref>
        </x14:conditionalFormatting>
        <x14:conditionalFormatting xmlns:xm="http://schemas.microsoft.com/office/excel/2006/main">
          <x14:cfRule type="cellIs" priority="18" operator="equal" id="{C657C87B-7667-4A84-B2D8-16383CF8CFDF}">
            <xm:f>MAX('11'!$AI$36,$AI$36)</xm:f>
            <x14:dxf>
              <font>
                <b val="0"/>
                <i/>
              </font>
            </x14:dxf>
          </x14:cfRule>
          <xm:sqref>AI36</xm:sqref>
        </x14:conditionalFormatting>
        <x14:conditionalFormatting xmlns:xm="http://schemas.microsoft.com/office/excel/2006/main">
          <x14:cfRule type="cellIs" priority="17" operator="equal" id="{0316DAB0-BDE0-41E7-9DC0-54F8277F2202}">
            <xm:f>MAX('13'!$AH$36,$AH$36)</xm:f>
            <x14:dxf>
              <font>
                <b val="0"/>
                <i/>
              </font>
            </x14:dxf>
          </x14:cfRule>
          <xm:sqref>AH36</xm:sqref>
        </x14:conditionalFormatting>
        <x14:conditionalFormatting xmlns:xm="http://schemas.microsoft.com/office/excel/2006/main">
          <x14:cfRule type="cellIs" priority="16" operator="equal" id="{66C2BEB0-E752-48C7-B7E4-0A7F0A92492A}">
            <xm:f>MAX('12'!$AE$36,$AE$36)</xm:f>
            <x14:dxf>
              <font>
                <b val="0"/>
                <i/>
              </font>
            </x14:dxf>
          </x14:cfRule>
          <xm:sqref>AE36</xm:sqref>
        </x14:conditionalFormatting>
        <x14:conditionalFormatting xmlns:xm="http://schemas.microsoft.com/office/excel/2006/main">
          <x14:cfRule type="cellIs" priority="15" operator="equal" id="{5BAD9B04-05A2-4AFD-AC70-F211F435AF23}">
            <xm:f>MAX('12'!$AD$36,$AD$36)</xm:f>
            <x14:dxf>
              <font>
                <b val="0"/>
                <i/>
              </font>
            </x14:dxf>
          </x14:cfRule>
          <xm:sqref>AD36</xm:sqref>
        </x14:conditionalFormatting>
        <x14:conditionalFormatting xmlns:xm="http://schemas.microsoft.com/office/excel/2006/main">
          <x14:cfRule type="cellIs" priority="14" operator="equal" id="{66970DA1-5565-4AE0-AD59-723D8B78A0F3}">
            <xm:f>MAX('13'!$AA$36,$AA$36)</xm:f>
            <x14:dxf>
              <font>
                <b val="0"/>
                <i/>
              </font>
            </x14:dxf>
          </x14:cfRule>
          <xm:sqref>AA36</xm:sqref>
        </x14:conditionalFormatting>
        <x14:conditionalFormatting xmlns:xm="http://schemas.microsoft.com/office/excel/2006/main">
          <x14:cfRule type="cellIs" priority="13" operator="equal" id="{AC9FBA08-2F21-4652-A23E-5C353B1F55EA}">
            <xm:f>MAX('09'!$Z$36,$Z$36)</xm:f>
            <x14:dxf>
              <font>
                <b val="0"/>
                <i/>
              </font>
            </x14:dxf>
          </x14:cfRule>
          <xm:sqref>Z36</xm:sqref>
        </x14:conditionalFormatting>
        <x14:conditionalFormatting xmlns:xm="http://schemas.microsoft.com/office/excel/2006/main">
          <x14:cfRule type="cellIs" priority="12" operator="equal" id="{5AAF211D-E1BD-4974-AB82-11FC5FF8F249}">
            <xm:f>MAX('11'!$W$36,$W$36)</xm:f>
            <x14:dxf>
              <font>
                <b val="0"/>
                <i/>
              </font>
            </x14:dxf>
          </x14:cfRule>
          <xm:sqref>W36</xm:sqref>
        </x14:conditionalFormatting>
        <x14:conditionalFormatting xmlns:xm="http://schemas.microsoft.com/office/excel/2006/main">
          <x14:cfRule type="cellIs" priority="11" operator="equal" id="{0BEFF905-9F87-4B28-881A-638C0775083B}">
            <xm:f>MAX('14'!$V$36,$V$36)</xm:f>
            <x14:dxf>
              <font>
                <b val="0"/>
                <i/>
              </font>
            </x14:dxf>
          </x14:cfRule>
          <xm:sqref>V36</xm:sqref>
        </x14:conditionalFormatting>
        <x14:conditionalFormatting xmlns:xm="http://schemas.microsoft.com/office/excel/2006/main">
          <x14:cfRule type="cellIs" priority="10" operator="equal" id="{7C165904-32E4-4BDF-B29C-9F824D524980}">
            <xm:f>MAX('13'!$S$36,$S$36)</xm:f>
            <x14:dxf>
              <font>
                <b val="0"/>
                <i/>
              </font>
            </x14:dxf>
          </x14:cfRule>
          <xm:sqref>S36</xm:sqref>
        </x14:conditionalFormatting>
        <x14:conditionalFormatting xmlns:xm="http://schemas.microsoft.com/office/excel/2006/main">
          <x14:cfRule type="cellIs" priority="9" operator="equal" id="{47405B65-2B2C-4A17-AE8F-10406AD91419}">
            <xm:f>MAX('09'!$R$36,$R$36)</xm:f>
            <x14:dxf>
              <font>
                <b val="0"/>
                <i/>
              </font>
            </x14:dxf>
          </x14:cfRule>
          <xm:sqref>R36</xm:sqref>
        </x14:conditionalFormatting>
        <x14:conditionalFormatting xmlns:xm="http://schemas.microsoft.com/office/excel/2006/main">
          <x14:cfRule type="cellIs" priority="8" operator="equal" id="{45380E81-A5D2-46CE-950D-BBDDE39197A5}">
            <xm:f>MAX('08'!$K$37,$N$36)</xm:f>
            <x14:dxf>
              <font>
                <b val="0"/>
                <i/>
              </font>
            </x14:dxf>
          </x14:cfRule>
          <xm:sqref>N36</xm:sqref>
        </x14:conditionalFormatting>
        <x14:conditionalFormatting xmlns:xm="http://schemas.microsoft.com/office/excel/2006/main">
          <x14:cfRule type="cellIs" priority="7" operator="equal" id="{2AA3996F-04E8-454B-8D9C-D4927B9A6D25}">
            <xm:f>MAX('12'!$O$36,$O$36)</xm:f>
            <x14:dxf>
              <font>
                <b val="0"/>
                <i/>
              </font>
            </x14:dxf>
          </x14:cfRule>
          <xm:sqref>O36</xm:sqref>
        </x14:conditionalFormatting>
        <x14:conditionalFormatting xmlns:xm="http://schemas.microsoft.com/office/excel/2006/main">
          <x14:cfRule type="cellIs" priority="6" operator="equal" id="{21C9139C-FD45-4C84-88ED-2005FC80E78D}">
            <xm:f>MAX('12'!$J$36,$J$36)</xm:f>
            <x14:dxf>
              <font>
                <b val="0"/>
                <i/>
              </font>
            </x14:dxf>
          </x14:cfRule>
          <xm:sqref>J36</xm:sqref>
        </x14:conditionalFormatting>
        <x14:conditionalFormatting xmlns:xm="http://schemas.microsoft.com/office/excel/2006/main">
          <x14:cfRule type="cellIs" priority="5" operator="equal" id="{4277C58C-10EB-4849-BD54-ADDC2CCBD9AB}">
            <xm:f>MAX('12'!$K$36,$K$36)</xm:f>
            <x14:dxf>
              <font>
                <b val="0"/>
                <i/>
              </font>
            </x14:dxf>
          </x14:cfRule>
          <xm:sqref>K36</xm:sqref>
        </x14:conditionalFormatting>
        <x14:conditionalFormatting xmlns:xm="http://schemas.microsoft.com/office/excel/2006/main">
          <x14:cfRule type="cellIs" priority="4" operator="equal" id="{10771EAF-0B14-4A79-9E94-E49422230909}">
            <xm:f>MAX('08'!$E$37,$F$36)</xm:f>
            <x14:dxf>
              <font>
                <b val="0"/>
                <i/>
              </font>
            </x14:dxf>
          </x14:cfRule>
          <xm:sqref>F36</xm:sqref>
        </x14:conditionalFormatting>
        <x14:conditionalFormatting xmlns:xm="http://schemas.microsoft.com/office/excel/2006/main">
          <x14:cfRule type="cellIs" priority="3" operator="equal" id="{94783B53-31B9-40DD-82CA-04BC8B6081FA}">
            <xm:f>MAX('14'!$G$36,$G$36)</xm:f>
            <x14:dxf>
              <font>
                <b val="0"/>
                <i/>
              </font>
            </x14:dxf>
          </x14:cfRule>
          <xm:sqref>G36</xm:sqref>
        </x14:conditionalFormatting>
        <x14:conditionalFormatting xmlns:xm="http://schemas.microsoft.com/office/excel/2006/main">
          <x14:cfRule type="cellIs" priority="2" operator="equal" id="{DC296F11-AF77-49C3-BE1C-1CC6AAD52296}">
            <xm:f>MAX('14'!$B$36,$B$36)</xm:f>
            <x14:dxf>
              <font>
                <b val="0"/>
                <i/>
              </font>
            </x14:dxf>
          </x14:cfRule>
          <xm:sqref>B36</xm:sqref>
        </x14:conditionalFormatting>
        <x14:conditionalFormatting xmlns:xm="http://schemas.microsoft.com/office/excel/2006/main">
          <x14:cfRule type="cellIs" priority="1" operator="equal" id="{50CF0AA5-2283-4012-9D69-DE345C561423}">
            <xm:f>MAX('08'!$C$37,$C$36)</xm:f>
            <x14:dxf>
              <font>
                <b val="0"/>
                <i/>
              </font>
            </x14:dxf>
          </x14:cfRule>
          <xm:sqref>C36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249977111117893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4" width="5" bestFit="1" customWidth="1"/>
    <col min="5" max="5" width="6.5703125" bestFit="1" customWidth="1"/>
    <col min="6" max="6" width="7" bestFit="1" customWidth="1"/>
    <col min="7" max="7" width="5.7109375" bestFit="1" customWidth="1"/>
    <col min="8" max="8" width="4" bestFit="1" customWidth="1"/>
    <col min="9" max="9" width="3.5703125" bestFit="1" customWidth="1"/>
    <col min="10" max="10" width="7" bestFit="1" customWidth="1"/>
    <col min="11" max="11" width="5.7109375" bestFit="1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.140625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6.5703125" bestFit="1" customWidth="1"/>
    <col min="35" max="35" width="5.8554687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6.28515625" bestFit="1" customWidth="1"/>
    <col min="44" max="44" width="4" bestFit="1" customWidth="1"/>
    <col min="45" max="45" width="3.7109375" bestFit="1" customWidth="1"/>
    <col min="46" max="46" width="7.140625" bestFit="1" customWidth="1"/>
    <col min="47" max="47" width="5.85546875" bestFit="1" customWidth="1"/>
    <col min="48" max="48" width="4" bestFit="1" customWidth="1"/>
    <col min="49" max="49" width="4.5703125" customWidth="1"/>
  </cols>
  <sheetData>
    <row r="1" spans="1:49" s="94" customFormat="1" ht="18" x14ac:dyDescent="0.25">
      <c r="A1" s="96" t="s">
        <v>243</v>
      </c>
      <c r="B1" s="416">
        <f>AT35+AV35</f>
        <v>8048.1349999999993</v>
      </c>
      <c r="C1" s="416"/>
      <c r="D1" s="97" t="s">
        <v>243</v>
      </c>
      <c r="E1" s="417">
        <f>AT35</f>
        <v>7595.3349999999991</v>
      </c>
      <c r="F1" s="417"/>
      <c r="G1" s="418" t="s">
        <v>155</v>
      </c>
      <c r="H1" s="418"/>
      <c r="I1" s="414">
        <f>MAX(B36,F36,J36,N36,R36,V36,Z36,AD36,AH36,AL36,AP36,AT36)</f>
        <v>141.72</v>
      </c>
      <c r="J1" s="414"/>
      <c r="K1" s="419" t="s">
        <v>163</v>
      </c>
      <c r="L1" s="419"/>
      <c r="M1" s="420">
        <f>MAX(B34,F34,J34,N34,R34,V34,Z34,AD34,AH34,AL34,AP34,AT34)</f>
        <v>913.65999999999974</v>
      </c>
      <c r="N1" s="420"/>
      <c r="O1" s="413" t="s">
        <v>194</v>
      </c>
      <c r="P1" s="413"/>
      <c r="Q1" s="413"/>
      <c r="R1" s="185">
        <f>MIN(B34,F34,J34,N34,R34,V34,Z34,AD34,AH34,AL34,AP34,AT34)</f>
        <v>370.08</v>
      </c>
      <c r="S1" s="98" t="s">
        <v>211</v>
      </c>
      <c r="T1" s="426">
        <f>IFERROR(AVERAGE(B37,F37,J37,N37,R37,V37,Z37,AD37,AH37,AL37,AP37,AT37),0)</f>
        <v>23.070445414061023</v>
      </c>
      <c r="U1" s="426"/>
      <c r="V1" s="439" t="s">
        <v>814</v>
      </c>
      <c r="W1" s="439"/>
      <c r="X1" s="439"/>
      <c r="Y1" s="439"/>
      <c r="Z1" s="439"/>
      <c r="AA1" s="99" t="s">
        <v>211</v>
      </c>
      <c r="AB1" s="415">
        <f>IFERROR(AVERAGE(C37,G37,K37,O37,S37,W37,AA37,AE37,AI37,AM37,AQ37,AU37),0)</f>
        <v>175.17562884408821</v>
      </c>
      <c r="AC1" s="415"/>
      <c r="AD1" s="425" t="s">
        <v>194</v>
      </c>
      <c r="AE1" s="425"/>
      <c r="AF1" s="428">
        <f>MIN(C34,G34,K34,O34,S34,W34,AA34,AE34,AI34,AM34,AQ34,AU34)</f>
        <v>1161</v>
      </c>
      <c r="AG1" s="428"/>
      <c r="AH1" s="429" t="s">
        <v>163</v>
      </c>
      <c r="AI1" s="429"/>
      <c r="AJ1" s="430">
        <f>MAX(C34,G34,K34,O34,S34,W34,AA34,AE34,AI34,AM34,AQ34,AU34)</f>
        <v>11863</v>
      </c>
      <c r="AK1" s="430"/>
      <c r="AL1" s="432" t="s">
        <v>156</v>
      </c>
      <c r="AM1" s="432"/>
      <c r="AN1" s="431">
        <f>MAX(C36,G36,K36,O36,S36,W36,AA36,AE36,AI36,AM36,AQ36,AU36)</f>
        <v>2025</v>
      </c>
      <c r="AO1" s="431"/>
      <c r="AP1" s="421" t="s">
        <v>366</v>
      </c>
      <c r="AQ1" s="421"/>
      <c r="AR1" s="422">
        <f>MAX(D36,H36,L36,P36,T36,X36,AB36,AF36,AJ36,AN36,AR36,AV36)</f>
        <v>4.6527777777777779E-2</v>
      </c>
      <c r="AS1" s="422"/>
      <c r="AT1" s="95" t="s">
        <v>2</v>
      </c>
      <c r="AU1" s="423">
        <f>AU35</f>
        <v>58400</v>
      </c>
      <c r="AV1" s="424"/>
      <c r="AW1" s="121"/>
    </row>
    <row r="2" spans="1:49" s="58" customFormat="1" ht="11.25" x14ac:dyDescent="0.2">
      <c r="A2" s="64" t="s">
        <v>197</v>
      </c>
      <c r="B2" s="49" t="s">
        <v>243</v>
      </c>
      <c r="C2" s="49" t="s">
        <v>2</v>
      </c>
      <c r="D2" s="49" t="s">
        <v>208</v>
      </c>
      <c r="E2" s="70" t="s">
        <v>198</v>
      </c>
      <c r="F2" s="49" t="s">
        <v>243</v>
      </c>
      <c r="G2" s="49" t="s">
        <v>2</v>
      </c>
      <c r="H2" s="49" t="s">
        <v>208</v>
      </c>
      <c r="I2" s="70" t="s">
        <v>200</v>
      </c>
      <c r="J2" s="49" t="s">
        <v>243</v>
      </c>
      <c r="K2" s="49" t="s">
        <v>2</v>
      </c>
      <c r="L2" s="49" t="s">
        <v>208</v>
      </c>
      <c r="M2" s="70" t="s">
        <v>199</v>
      </c>
      <c r="N2" s="49" t="s">
        <v>243</v>
      </c>
      <c r="O2" s="49" t="s">
        <v>2</v>
      </c>
      <c r="P2" s="49" t="s">
        <v>208</v>
      </c>
      <c r="Q2" s="70" t="s">
        <v>100</v>
      </c>
      <c r="R2" s="49" t="s">
        <v>243</v>
      </c>
      <c r="S2" s="49" t="s">
        <v>2</v>
      </c>
      <c r="T2" s="49" t="s">
        <v>208</v>
      </c>
      <c r="U2" s="70" t="s">
        <v>201</v>
      </c>
      <c r="V2" s="49" t="s">
        <v>243</v>
      </c>
      <c r="W2" s="49" t="s">
        <v>2</v>
      </c>
      <c r="X2" s="49" t="s">
        <v>208</v>
      </c>
      <c r="Y2" s="70" t="s">
        <v>202</v>
      </c>
      <c r="Z2" s="49" t="s">
        <v>243</v>
      </c>
      <c r="AA2" s="49" t="s">
        <v>2</v>
      </c>
      <c r="AB2" s="49" t="s">
        <v>208</v>
      </c>
      <c r="AC2" s="70" t="s">
        <v>203</v>
      </c>
      <c r="AD2" s="49" t="s">
        <v>243</v>
      </c>
      <c r="AE2" s="49" t="s">
        <v>2</v>
      </c>
      <c r="AF2" s="49" t="s">
        <v>208</v>
      </c>
      <c r="AG2" s="70" t="s">
        <v>204</v>
      </c>
      <c r="AH2" s="49" t="s">
        <v>243</v>
      </c>
      <c r="AI2" s="49" t="s">
        <v>2</v>
      </c>
      <c r="AJ2" s="49" t="s">
        <v>208</v>
      </c>
      <c r="AK2" s="70" t="s">
        <v>205</v>
      </c>
      <c r="AL2" s="49" t="s">
        <v>243</v>
      </c>
      <c r="AM2" s="49" t="s">
        <v>2</v>
      </c>
      <c r="AN2" s="49" t="s">
        <v>208</v>
      </c>
      <c r="AO2" s="70" t="s">
        <v>206</v>
      </c>
      <c r="AP2" s="49" t="s">
        <v>243</v>
      </c>
      <c r="AQ2" s="49" t="s">
        <v>2</v>
      </c>
      <c r="AR2" s="49" t="s">
        <v>208</v>
      </c>
      <c r="AS2" s="70" t="s">
        <v>207</v>
      </c>
      <c r="AT2" s="49" t="s">
        <v>243</v>
      </c>
      <c r="AU2" s="49" t="s">
        <v>2</v>
      </c>
      <c r="AV2" s="49" t="s">
        <v>208</v>
      </c>
      <c r="AW2" s="105"/>
    </row>
    <row r="3" spans="1:49" s="54" customFormat="1" ht="11.25" x14ac:dyDescent="0.2">
      <c r="A3" s="86">
        <v>1</v>
      </c>
      <c r="B3" s="59"/>
      <c r="C3" s="60"/>
      <c r="D3" s="186">
        <v>3.1944444444444449E-2</v>
      </c>
      <c r="E3" s="88">
        <v>1</v>
      </c>
      <c r="F3" s="59">
        <v>26.389999999999997</v>
      </c>
      <c r="G3" s="60">
        <v>155</v>
      </c>
      <c r="H3" s="186"/>
      <c r="I3" s="88">
        <v>1</v>
      </c>
      <c r="J3" s="59">
        <v>11.47</v>
      </c>
      <c r="K3" s="60">
        <v>45</v>
      </c>
      <c r="L3" s="186"/>
      <c r="M3" s="88">
        <v>1</v>
      </c>
      <c r="N3" s="59">
        <v>10</v>
      </c>
      <c r="O3" s="60">
        <v>340</v>
      </c>
      <c r="P3" s="186"/>
      <c r="Q3" s="88">
        <v>1</v>
      </c>
      <c r="R3" s="59">
        <v>37.299999999999997</v>
      </c>
      <c r="S3" s="60">
        <v>190</v>
      </c>
      <c r="T3" s="186"/>
      <c r="U3" s="88">
        <v>1</v>
      </c>
      <c r="V3" s="59">
        <v>20.2</v>
      </c>
      <c r="W3" s="60">
        <v>30</v>
      </c>
      <c r="X3" s="186"/>
      <c r="Y3" s="88">
        <v>1</v>
      </c>
      <c r="Z3" s="59">
        <v>20</v>
      </c>
      <c r="AA3" s="60">
        <v>120</v>
      </c>
      <c r="AB3" s="186"/>
      <c r="AC3" s="88">
        <v>1</v>
      </c>
      <c r="AD3" s="59">
        <v>14.8</v>
      </c>
      <c r="AE3" s="60">
        <v>330</v>
      </c>
      <c r="AF3" s="186"/>
      <c r="AG3" s="88">
        <v>1</v>
      </c>
      <c r="AH3" s="59">
        <v>19.27</v>
      </c>
      <c r="AI3" s="60">
        <v>80</v>
      </c>
      <c r="AJ3" s="186"/>
      <c r="AK3" s="88">
        <v>1</v>
      </c>
      <c r="AL3" s="59"/>
      <c r="AM3" s="60"/>
      <c r="AN3" s="186">
        <v>1.0416666666666666E-2</v>
      </c>
      <c r="AO3" s="88">
        <v>1</v>
      </c>
      <c r="AP3" s="59">
        <v>29.47</v>
      </c>
      <c r="AQ3" s="60">
        <v>180</v>
      </c>
      <c r="AR3" s="186"/>
      <c r="AS3" s="88">
        <v>1</v>
      </c>
      <c r="AT3" s="59">
        <v>15.69</v>
      </c>
      <c r="AU3" s="60">
        <v>165</v>
      </c>
      <c r="AV3" s="186">
        <v>2.0833333333333332E-2</v>
      </c>
      <c r="AW3" s="73"/>
    </row>
    <row r="4" spans="1:49" s="54" customFormat="1" ht="11.25" x14ac:dyDescent="0.2">
      <c r="A4" s="86">
        <f t="shared" ref="A4:A33" si="0">A3+1</f>
        <v>2</v>
      </c>
      <c r="B4" s="59"/>
      <c r="C4" s="60"/>
      <c r="D4" s="186">
        <v>2.0833333333333332E-2</v>
      </c>
      <c r="E4" s="88">
        <f t="shared" ref="E4:E30" si="1">E3+1</f>
        <v>2</v>
      </c>
      <c r="F4" s="59">
        <v>22.759999999999998</v>
      </c>
      <c r="G4" s="60">
        <v>117</v>
      </c>
      <c r="H4" s="186"/>
      <c r="I4" s="88">
        <f t="shared" ref="I4:I33" si="2">I3+1</f>
        <v>2</v>
      </c>
      <c r="J4" s="59">
        <v>12.45</v>
      </c>
      <c r="K4" s="60">
        <v>45</v>
      </c>
      <c r="L4" s="186"/>
      <c r="M4" s="88">
        <f t="shared" ref="M4:M32" si="3">M3+1</f>
        <v>2</v>
      </c>
      <c r="N4" s="59">
        <v>62.05</v>
      </c>
      <c r="O4" s="60">
        <v>380</v>
      </c>
      <c r="P4" s="186"/>
      <c r="Q4" s="88">
        <f t="shared" ref="Q4:Q33" si="4">Q3+1</f>
        <v>2</v>
      </c>
      <c r="R4" s="59">
        <v>10</v>
      </c>
      <c r="S4" s="60">
        <v>30</v>
      </c>
      <c r="T4" s="186"/>
      <c r="U4" s="88">
        <f t="shared" ref="U4:U32" si="5">U3+1</f>
        <v>2</v>
      </c>
      <c r="V4" s="59">
        <v>5</v>
      </c>
      <c r="W4" s="60">
        <v>3</v>
      </c>
      <c r="X4" s="186"/>
      <c r="Y4" s="88">
        <f t="shared" ref="Y4:Y33" si="6">Y3+1</f>
        <v>2</v>
      </c>
      <c r="Z4" s="59">
        <v>10</v>
      </c>
      <c r="AA4" s="60">
        <v>30</v>
      </c>
      <c r="AB4" s="186"/>
      <c r="AC4" s="88">
        <f t="shared" ref="AC4:AC33" si="7">AC3+1</f>
        <v>2</v>
      </c>
      <c r="AD4" s="59">
        <v>9</v>
      </c>
      <c r="AE4" s="60">
        <v>25</v>
      </c>
      <c r="AF4" s="186"/>
      <c r="AG4" s="88">
        <f>AG3+1</f>
        <v>2</v>
      </c>
      <c r="AH4" s="59">
        <v>14.8</v>
      </c>
      <c r="AI4" s="60">
        <v>330</v>
      </c>
      <c r="AJ4" s="186"/>
      <c r="AK4" s="88">
        <f>AK3+1</f>
        <v>2</v>
      </c>
      <c r="AL4" s="59">
        <v>45.64</v>
      </c>
      <c r="AM4" s="60">
        <v>335</v>
      </c>
      <c r="AN4" s="186"/>
      <c r="AO4" s="88">
        <f>AO3+1</f>
        <v>2</v>
      </c>
      <c r="AP4" s="59">
        <v>11.54</v>
      </c>
      <c r="AQ4" s="60">
        <v>30</v>
      </c>
      <c r="AR4" s="186"/>
      <c r="AS4" s="88">
        <f>AS3+1</f>
        <v>2</v>
      </c>
      <c r="AT4" s="59">
        <v>5</v>
      </c>
      <c r="AU4" s="60">
        <v>3</v>
      </c>
      <c r="AV4" s="186"/>
      <c r="AW4" s="73"/>
    </row>
    <row r="5" spans="1:49" s="54" customFormat="1" ht="11.25" x14ac:dyDescent="0.2">
      <c r="A5" s="86">
        <f t="shared" si="0"/>
        <v>3</v>
      </c>
      <c r="B5" s="59">
        <v>19.86</v>
      </c>
      <c r="C5" s="60">
        <v>72</v>
      </c>
      <c r="D5" s="186"/>
      <c r="E5" s="88">
        <f t="shared" si="1"/>
        <v>3</v>
      </c>
      <c r="F5" s="59">
        <v>10</v>
      </c>
      <c r="G5" s="60">
        <v>15</v>
      </c>
      <c r="H5" s="186">
        <v>1.3888888888888888E-2</v>
      </c>
      <c r="I5" s="88">
        <f t="shared" si="2"/>
        <v>3</v>
      </c>
      <c r="J5" s="59">
        <v>25.16</v>
      </c>
      <c r="K5" s="60">
        <v>25</v>
      </c>
      <c r="L5" s="186"/>
      <c r="M5" s="88">
        <f t="shared" si="3"/>
        <v>3</v>
      </c>
      <c r="N5" s="59">
        <v>64.42</v>
      </c>
      <c r="O5" s="60">
        <v>903</v>
      </c>
      <c r="P5" s="186"/>
      <c r="Q5" s="88">
        <f t="shared" si="4"/>
        <v>3</v>
      </c>
      <c r="R5" s="59">
        <v>5</v>
      </c>
      <c r="S5" s="60">
        <v>3</v>
      </c>
      <c r="T5" s="186"/>
      <c r="U5" s="88">
        <f t="shared" si="5"/>
        <v>3</v>
      </c>
      <c r="V5" s="59">
        <v>7</v>
      </c>
      <c r="W5" s="60">
        <v>3</v>
      </c>
      <c r="X5" s="186"/>
      <c r="Y5" s="88">
        <f t="shared" si="6"/>
        <v>3</v>
      </c>
      <c r="Z5" s="59">
        <v>13.96</v>
      </c>
      <c r="AA5" s="60">
        <v>140</v>
      </c>
      <c r="AB5" s="186">
        <v>3.4722222222222224E-2</v>
      </c>
      <c r="AC5" s="88">
        <f t="shared" si="7"/>
        <v>3</v>
      </c>
      <c r="AD5" s="59">
        <v>17.8</v>
      </c>
      <c r="AE5" s="60">
        <v>367</v>
      </c>
      <c r="AF5" s="186"/>
      <c r="AG5" s="88">
        <f t="shared" ref="AG5:AG32" si="8">AG4+1</f>
        <v>3</v>
      </c>
      <c r="AH5" s="59">
        <v>41.25</v>
      </c>
      <c r="AI5" s="60">
        <v>310</v>
      </c>
      <c r="AJ5" s="186"/>
      <c r="AK5" s="88">
        <f t="shared" ref="AK5:AK33" si="9">AK4+1</f>
        <v>3</v>
      </c>
      <c r="AL5" s="59">
        <v>34.96</v>
      </c>
      <c r="AM5" s="60">
        <v>55</v>
      </c>
      <c r="AN5" s="186"/>
      <c r="AO5" s="88">
        <f t="shared" ref="AO5:AO32" si="10">AO4+1</f>
        <v>3</v>
      </c>
      <c r="AP5" s="59">
        <v>5</v>
      </c>
      <c r="AQ5" s="60">
        <v>3</v>
      </c>
      <c r="AR5" s="186"/>
      <c r="AS5" s="88">
        <f t="shared" ref="AS5:AS33" si="11">AS4+1</f>
        <v>3</v>
      </c>
      <c r="AT5" s="59">
        <v>42.480000000000004</v>
      </c>
      <c r="AU5" s="60">
        <v>531</v>
      </c>
      <c r="AV5" s="186"/>
      <c r="AW5" s="73"/>
    </row>
    <row r="6" spans="1:49" s="54" customFormat="1" ht="11.25" x14ac:dyDescent="0.2">
      <c r="A6" s="86">
        <f t="shared" si="0"/>
        <v>4</v>
      </c>
      <c r="B6" s="59">
        <v>11.879999999999999</v>
      </c>
      <c r="C6" s="60">
        <v>37</v>
      </c>
      <c r="D6" s="186"/>
      <c r="E6" s="88">
        <f t="shared" si="1"/>
        <v>4</v>
      </c>
      <c r="F6" s="59">
        <v>10.8</v>
      </c>
      <c r="G6" s="60">
        <v>3</v>
      </c>
      <c r="H6" s="186"/>
      <c r="I6" s="88">
        <f t="shared" si="2"/>
        <v>4</v>
      </c>
      <c r="J6" s="59">
        <v>12.45</v>
      </c>
      <c r="K6" s="60">
        <v>45</v>
      </c>
      <c r="L6" s="186"/>
      <c r="M6" s="88">
        <f t="shared" si="3"/>
        <v>4</v>
      </c>
      <c r="N6" s="59">
        <v>11</v>
      </c>
      <c r="O6" s="60">
        <v>45</v>
      </c>
      <c r="P6" s="186"/>
      <c r="Q6" s="88">
        <f t="shared" si="4"/>
        <v>4</v>
      </c>
      <c r="R6" s="59">
        <v>21.1</v>
      </c>
      <c r="S6" s="60">
        <v>360</v>
      </c>
      <c r="T6" s="186"/>
      <c r="U6" s="88">
        <f t="shared" si="5"/>
        <v>4</v>
      </c>
      <c r="V6" s="59">
        <v>5</v>
      </c>
      <c r="W6" s="60">
        <v>3</v>
      </c>
      <c r="X6" s="186">
        <v>2.0833333333333332E-2</v>
      </c>
      <c r="Y6" s="88">
        <f t="shared" si="6"/>
        <v>4</v>
      </c>
      <c r="Z6" s="59">
        <v>13</v>
      </c>
      <c r="AA6" s="60">
        <v>30</v>
      </c>
      <c r="AB6" s="186"/>
      <c r="AC6" s="88">
        <f t="shared" si="7"/>
        <v>4</v>
      </c>
      <c r="AD6" s="59">
        <v>10</v>
      </c>
      <c r="AE6" s="60">
        <v>40</v>
      </c>
      <c r="AF6" s="186"/>
      <c r="AG6" s="88">
        <f t="shared" si="8"/>
        <v>4</v>
      </c>
      <c r="AH6" s="59">
        <v>42.26</v>
      </c>
      <c r="AI6" s="60">
        <v>320</v>
      </c>
      <c r="AJ6" s="186"/>
      <c r="AK6" s="88">
        <f t="shared" si="9"/>
        <v>4</v>
      </c>
      <c r="AL6" s="59">
        <v>10.199999999999999</v>
      </c>
      <c r="AM6" s="60">
        <v>5</v>
      </c>
      <c r="AN6" s="186"/>
      <c r="AO6" s="88">
        <f t="shared" si="10"/>
        <v>4</v>
      </c>
      <c r="AP6" s="59">
        <v>19.13</v>
      </c>
      <c r="AQ6" s="60">
        <v>55</v>
      </c>
      <c r="AR6" s="186">
        <v>2.4305555555555556E-2</v>
      </c>
      <c r="AS6" s="88">
        <f t="shared" si="11"/>
        <v>4</v>
      </c>
      <c r="AT6" s="59">
        <v>35.520000000000003</v>
      </c>
      <c r="AU6" s="60">
        <v>215</v>
      </c>
      <c r="AV6" s="186">
        <v>1.0416666666666666E-2</v>
      </c>
      <c r="AW6" s="73"/>
    </row>
    <row r="7" spans="1:49" s="54" customFormat="1" ht="11.25" x14ac:dyDescent="0.2">
      <c r="A7" s="86">
        <f t="shared" si="0"/>
        <v>5</v>
      </c>
      <c r="B7" s="59">
        <v>11</v>
      </c>
      <c r="C7" s="60">
        <v>45</v>
      </c>
      <c r="D7" s="186"/>
      <c r="E7" s="88">
        <f t="shared" si="1"/>
        <v>5</v>
      </c>
      <c r="F7" s="59">
        <v>10</v>
      </c>
      <c r="G7" s="60">
        <v>30</v>
      </c>
      <c r="H7" s="186"/>
      <c r="I7" s="88">
        <f t="shared" si="2"/>
        <v>5</v>
      </c>
      <c r="J7" s="59">
        <v>16.7</v>
      </c>
      <c r="K7" s="60">
        <v>148</v>
      </c>
      <c r="L7" s="186"/>
      <c r="M7" s="88">
        <f t="shared" si="3"/>
        <v>5</v>
      </c>
      <c r="N7" s="59">
        <v>10</v>
      </c>
      <c r="O7" s="60">
        <v>23</v>
      </c>
      <c r="P7" s="186"/>
      <c r="Q7" s="88">
        <f t="shared" si="4"/>
        <v>5</v>
      </c>
      <c r="R7" s="59"/>
      <c r="S7" s="60"/>
      <c r="T7" s="186">
        <v>1.3888888888888888E-2</v>
      </c>
      <c r="U7" s="88">
        <f t="shared" si="5"/>
        <v>5</v>
      </c>
      <c r="V7" s="59">
        <v>31.599999999999998</v>
      </c>
      <c r="W7" s="60">
        <v>273</v>
      </c>
      <c r="X7" s="186">
        <v>1.0416666666666666E-2</v>
      </c>
      <c r="Y7" s="88">
        <f t="shared" si="6"/>
        <v>5</v>
      </c>
      <c r="Z7" s="59">
        <v>30.480000000000004</v>
      </c>
      <c r="AA7" s="60">
        <v>75</v>
      </c>
      <c r="AB7" s="186"/>
      <c r="AC7" s="88">
        <f t="shared" si="7"/>
        <v>5</v>
      </c>
      <c r="AD7" s="59">
        <v>23.2</v>
      </c>
      <c r="AE7" s="60">
        <v>444</v>
      </c>
      <c r="AF7" s="186"/>
      <c r="AG7" s="88">
        <f t="shared" si="8"/>
        <v>5</v>
      </c>
      <c r="AH7" s="59"/>
      <c r="AI7" s="60"/>
      <c r="AJ7" s="186"/>
      <c r="AK7" s="88">
        <f t="shared" si="9"/>
        <v>5</v>
      </c>
      <c r="AL7" s="59">
        <v>15.6</v>
      </c>
      <c r="AM7" s="60">
        <v>65</v>
      </c>
      <c r="AN7" s="186"/>
      <c r="AO7" s="88">
        <f t="shared" si="10"/>
        <v>5</v>
      </c>
      <c r="AP7" s="59">
        <v>10.5</v>
      </c>
      <c r="AQ7" s="60">
        <v>5</v>
      </c>
      <c r="AR7" s="186"/>
      <c r="AS7" s="88">
        <f t="shared" si="11"/>
        <v>5</v>
      </c>
      <c r="AT7" s="59">
        <v>19.84</v>
      </c>
      <c r="AU7" s="60">
        <v>30</v>
      </c>
      <c r="AV7" s="186">
        <v>1.5277777777777777E-2</v>
      </c>
      <c r="AW7" s="73"/>
    </row>
    <row r="8" spans="1:49" s="54" customFormat="1" ht="11.25" x14ac:dyDescent="0.2">
      <c r="A8" s="86">
        <f t="shared" si="0"/>
        <v>6</v>
      </c>
      <c r="B8" s="59">
        <v>29.66</v>
      </c>
      <c r="C8" s="60">
        <v>28</v>
      </c>
      <c r="D8" s="186"/>
      <c r="E8" s="88">
        <f t="shared" si="1"/>
        <v>6</v>
      </c>
      <c r="F8" s="59">
        <v>57.1</v>
      </c>
      <c r="G8" s="60">
        <v>705</v>
      </c>
      <c r="H8" s="186"/>
      <c r="I8" s="88">
        <f t="shared" si="2"/>
        <v>6</v>
      </c>
      <c r="J8" s="59">
        <v>25.060000000000002</v>
      </c>
      <c r="K8" s="60">
        <v>402</v>
      </c>
      <c r="L8" s="186"/>
      <c r="M8" s="88">
        <f t="shared" si="3"/>
        <v>6</v>
      </c>
      <c r="N8" s="59"/>
      <c r="O8" s="60"/>
      <c r="P8" s="186"/>
      <c r="Q8" s="88">
        <f t="shared" si="4"/>
        <v>6</v>
      </c>
      <c r="R8" s="59">
        <v>16.600000000000001</v>
      </c>
      <c r="S8" s="60">
        <v>354</v>
      </c>
      <c r="T8" s="186"/>
      <c r="U8" s="88">
        <f t="shared" si="5"/>
        <v>6</v>
      </c>
      <c r="V8" s="59">
        <v>17</v>
      </c>
      <c r="W8" s="60">
        <v>33</v>
      </c>
      <c r="X8" s="186"/>
      <c r="Y8" s="88">
        <f t="shared" si="6"/>
        <v>6</v>
      </c>
      <c r="Z8" s="59">
        <v>20.07</v>
      </c>
      <c r="AA8" s="60">
        <v>140</v>
      </c>
      <c r="AB8" s="186"/>
      <c r="AC8" s="88">
        <f t="shared" si="7"/>
        <v>6</v>
      </c>
      <c r="AD8" s="59">
        <v>49</v>
      </c>
      <c r="AE8" s="60">
        <v>390</v>
      </c>
      <c r="AF8" s="186"/>
      <c r="AG8" s="88">
        <f t="shared" si="8"/>
        <v>6</v>
      </c>
      <c r="AH8" s="59">
        <v>16.260000000000002</v>
      </c>
      <c r="AI8" s="60">
        <v>50</v>
      </c>
      <c r="AJ8" s="186"/>
      <c r="AK8" s="88">
        <f t="shared" si="9"/>
        <v>6</v>
      </c>
      <c r="AL8" s="59">
        <v>12.45</v>
      </c>
      <c r="AM8" s="60">
        <v>45</v>
      </c>
      <c r="AN8" s="186"/>
      <c r="AO8" s="88">
        <f t="shared" si="10"/>
        <v>6</v>
      </c>
      <c r="AP8" s="59">
        <v>33.07</v>
      </c>
      <c r="AQ8" s="60">
        <v>160</v>
      </c>
      <c r="AR8" s="186"/>
      <c r="AS8" s="88">
        <f t="shared" si="11"/>
        <v>6</v>
      </c>
      <c r="AT8" s="59">
        <v>10</v>
      </c>
      <c r="AU8" s="60">
        <v>25</v>
      </c>
      <c r="AV8" s="186"/>
      <c r="AW8" s="73"/>
    </row>
    <row r="9" spans="1:49" s="54" customFormat="1" ht="11.25" x14ac:dyDescent="0.2">
      <c r="A9" s="86">
        <f t="shared" si="0"/>
        <v>7</v>
      </c>
      <c r="B9" s="59">
        <v>10</v>
      </c>
      <c r="C9" s="60">
        <v>15</v>
      </c>
      <c r="D9" s="186"/>
      <c r="E9" s="88">
        <f t="shared" si="1"/>
        <v>7</v>
      </c>
      <c r="F9" s="59">
        <v>23.560000000000002</v>
      </c>
      <c r="G9" s="60">
        <v>400</v>
      </c>
      <c r="H9" s="186"/>
      <c r="I9" s="88">
        <f t="shared" si="2"/>
        <v>7</v>
      </c>
      <c r="J9" s="59">
        <v>26.7</v>
      </c>
      <c r="K9" s="60">
        <v>35</v>
      </c>
      <c r="L9" s="186"/>
      <c r="M9" s="88">
        <f t="shared" si="3"/>
        <v>7</v>
      </c>
      <c r="N9" s="59">
        <v>10.3</v>
      </c>
      <c r="O9" s="60">
        <v>25</v>
      </c>
      <c r="P9" s="186"/>
      <c r="Q9" s="88">
        <f t="shared" si="4"/>
        <v>7</v>
      </c>
      <c r="R9" s="59">
        <v>78.3</v>
      </c>
      <c r="S9" s="60">
        <v>2025</v>
      </c>
      <c r="T9" s="186"/>
      <c r="U9" s="88">
        <f t="shared" si="5"/>
        <v>7</v>
      </c>
      <c r="V9" s="59">
        <v>13</v>
      </c>
      <c r="W9" s="60">
        <v>100</v>
      </c>
      <c r="X9" s="186"/>
      <c r="Y9" s="88">
        <f t="shared" si="6"/>
        <v>7</v>
      </c>
      <c r="Z9" s="59">
        <v>14.8</v>
      </c>
      <c r="AA9" s="60">
        <v>330</v>
      </c>
      <c r="AB9" s="186"/>
      <c r="AC9" s="88">
        <f t="shared" si="7"/>
        <v>7</v>
      </c>
      <c r="AD9" s="59">
        <v>84.4</v>
      </c>
      <c r="AE9" s="60">
        <v>1060</v>
      </c>
      <c r="AF9" s="186">
        <v>1.0416666666666666E-2</v>
      </c>
      <c r="AG9" s="88">
        <f t="shared" si="8"/>
        <v>7</v>
      </c>
      <c r="AH9" s="59">
        <v>14.8</v>
      </c>
      <c r="AI9" s="60">
        <v>330</v>
      </c>
      <c r="AJ9" s="186"/>
      <c r="AK9" s="88">
        <f t="shared" si="9"/>
        <v>7</v>
      </c>
      <c r="AL9" s="59">
        <v>12.42</v>
      </c>
      <c r="AM9" s="60">
        <v>60</v>
      </c>
      <c r="AN9" s="186"/>
      <c r="AO9" s="88">
        <f t="shared" si="10"/>
        <v>7</v>
      </c>
      <c r="AP9" s="59">
        <v>5.15</v>
      </c>
      <c r="AQ9" s="60">
        <v>3</v>
      </c>
      <c r="AR9" s="186"/>
      <c r="AS9" s="88">
        <f t="shared" si="11"/>
        <v>7</v>
      </c>
      <c r="AT9" s="59">
        <v>11.25</v>
      </c>
      <c r="AU9" s="60">
        <v>30</v>
      </c>
      <c r="AV9" s="186"/>
      <c r="AW9" s="73"/>
    </row>
    <row r="10" spans="1:49" s="54" customFormat="1" ht="11.25" x14ac:dyDescent="0.2">
      <c r="A10" s="86">
        <f t="shared" si="0"/>
        <v>8</v>
      </c>
      <c r="B10" s="59">
        <v>10</v>
      </c>
      <c r="C10" s="60">
        <v>15</v>
      </c>
      <c r="D10" s="186"/>
      <c r="E10" s="88">
        <f t="shared" si="1"/>
        <v>8</v>
      </c>
      <c r="F10" s="59">
        <v>10</v>
      </c>
      <c r="G10" s="60">
        <v>3</v>
      </c>
      <c r="H10" s="186"/>
      <c r="I10" s="88">
        <f t="shared" si="2"/>
        <v>8</v>
      </c>
      <c r="J10" s="59">
        <v>24.89</v>
      </c>
      <c r="K10" s="60">
        <v>25</v>
      </c>
      <c r="L10" s="186"/>
      <c r="M10" s="88">
        <f t="shared" si="3"/>
        <v>8</v>
      </c>
      <c r="N10" s="59">
        <v>15.100000000000001</v>
      </c>
      <c r="O10" s="60">
        <v>334</v>
      </c>
      <c r="P10" s="186"/>
      <c r="Q10" s="88">
        <f t="shared" si="4"/>
        <v>8</v>
      </c>
      <c r="R10" s="59">
        <v>19.05</v>
      </c>
      <c r="S10" s="60">
        <v>110</v>
      </c>
      <c r="T10" s="186"/>
      <c r="U10" s="88">
        <f t="shared" si="5"/>
        <v>8</v>
      </c>
      <c r="V10" s="59">
        <v>15</v>
      </c>
      <c r="W10" s="60">
        <v>46</v>
      </c>
      <c r="X10" s="186"/>
      <c r="Y10" s="88">
        <f t="shared" si="6"/>
        <v>8</v>
      </c>
      <c r="Z10" s="59">
        <v>14.8</v>
      </c>
      <c r="AA10" s="60">
        <v>330</v>
      </c>
      <c r="AB10" s="186"/>
      <c r="AC10" s="88">
        <f t="shared" si="7"/>
        <v>8</v>
      </c>
      <c r="AD10" s="59">
        <v>12.45</v>
      </c>
      <c r="AE10" s="60">
        <v>45</v>
      </c>
      <c r="AF10" s="186"/>
      <c r="AG10" s="88">
        <f t="shared" si="8"/>
        <v>8</v>
      </c>
      <c r="AH10" s="59">
        <v>18</v>
      </c>
      <c r="AI10" s="54">
        <v>55</v>
      </c>
      <c r="AJ10" s="186"/>
      <c r="AK10" s="88">
        <f t="shared" si="9"/>
        <v>8</v>
      </c>
      <c r="AL10" s="59">
        <v>39.150000000000006</v>
      </c>
      <c r="AM10" s="60">
        <v>774</v>
      </c>
      <c r="AN10" s="186"/>
      <c r="AO10" s="88">
        <f t="shared" si="10"/>
        <v>8</v>
      </c>
      <c r="AP10" s="59">
        <v>11</v>
      </c>
      <c r="AQ10" s="60">
        <v>30</v>
      </c>
      <c r="AR10" s="186"/>
      <c r="AS10" s="88">
        <f t="shared" si="11"/>
        <v>8</v>
      </c>
      <c r="AT10" s="59">
        <v>12.04</v>
      </c>
      <c r="AU10" s="60">
        <v>20</v>
      </c>
      <c r="AV10" s="186"/>
      <c r="AW10" s="73"/>
    </row>
    <row r="11" spans="1:49" s="54" customFormat="1" ht="11.25" x14ac:dyDescent="0.2">
      <c r="A11" s="86">
        <f t="shared" si="0"/>
        <v>9</v>
      </c>
      <c r="B11" s="59">
        <v>35.659999999999997</v>
      </c>
      <c r="C11" s="60">
        <v>70</v>
      </c>
      <c r="D11" s="186">
        <v>2.2916666666666669E-2</v>
      </c>
      <c r="E11" s="88">
        <f t="shared" si="1"/>
        <v>9</v>
      </c>
      <c r="F11" s="59">
        <v>10</v>
      </c>
      <c r="G11" s="60">
        <v>30</v>
      </c>
      <c r="H11" s="186"/>
      <c r="I11" s="88">
        <f t="shared" si="2"/>
        <v>9</v>
      </c>
      <c r="J11" s="59"/>
      <c r="K11" s="60"/>
      <c r="L11" s="186"/>
      <c r="M11" s="88">
        <f t="shared" si="3"/>
        <v>9</v>
      </c>
      <c r="N11" s="59">
        <v>16.8</v>
      </c>
      <c r="O11" s="60">
        <v>20</v>
      </c>
      <c r="P11" s="186">
        <v>1.5277777777777777E-2</v>
      </c>
      <c r="Q11" s="88">
        <f t="shared" si="4"/>
        <v>9</v>
      </c>
      <c r="R11" s="59">
        <v>10</v>
      </c>
      <c r="S11" s="60">
        <v>20</v>
      </c>
      <c r="T11" s="186"/>
      <c r="U11" s="88">
        <f t="shared" si="5"/>
        <v>9</v>
      </c>
      <c r="V11" s="59">
        <v>16.3</v>
      </c>
      <c r="W11" s="60">
        <v>70</v>
      </c>
      <c r="X11" s="186"/>
      <c r="Y11" s="88">
        <f t="shared" si="6"/>
        <v>9</v>
      </c>
      <c r="Z11" s="59"/>
      <c r="AA11" s="60"/>
      <c r="AB11" s="186"/>
      <c r="AC11" s="88">
        <f t="shared" si="7"/>
        <v>9</v>
      </c>
      <c r="AD11" s="59">
        <v>13.38</v>
      </c>
      <c r="AE11" s="60">
        <v>30</v>
      </c>
      <c r="AF11" s="186"/>
      <c r="AG11" s="88">
        <f t="shared" si="8"/>
        <v>9</v>
      </c>
      <c r="AH11" s="59">
        <v>17.91</v>
      </c>
      <c r="AI11" s="60">
        <v>375</v>
      </c>
      <c r="AJ11" s="186"/>
      <c r="AK11" s="88">
        <f t="shared" si="9"/>
        <v>9</v>
      </c>
      <c r="AL11" s="59">
        <v>60.76</v>
      </c>
      <c r="AM11" s="60">
        <v>182</v>
      </c>
      <c r="AN11" s="186"/>
      <c r="AO11" s="88">
        <f t="shared" si="10"/>
        <v>9</v>
      </c>
      <c r="AP11" s="59">
        <v>10</v>
      </c>
      <c r="AQ11" s="60">
        <v>30</v>
      </c>
      <c r="AR11" s="186"/>
      <c r="AS11" s="88">
        <f t="shared" si="11"/>
        <v>9</v>
      </c>
      <c r="AT11" s="59">
        <v>6</v>
      </c>
      <c r="AU11" s="60">
        <v>3</v>
      </c>
      <c r="AV11" s="186"/>
      <c r="AW11" s="73"/>
    </row>
    <row r="12" spans="1:49" s="54" customFormat="1" ht="11.25" x14ac:dyDescent="0.2">
      <c r="A12" s="86">
        <f t="shared" si="0"/>
        <v>10</v>
      </c>
      <c r="B12" s="59">
        <v>33.43</v>
      </c>
      <c r="C12" s="60">
        <v>100</v>
      </c>
      <c r="D12" s="186"/>
      <c r="E12" s="88">
        <f t="shared" si="1"/>
        <v>10</v>
      </c>
      <c r="F12" s="59"/>
      <c r="G12" s="60"/>
      <c r="H12" s="186"/>
      <c r="I12" s="88">
        <f t="shared" si="2"/>
        <v>10</v>
      </c>
      <c r="J12" s="59"/>
      <c r="K12" s="60"/>
      <c r="L12" s="186"/>
      <c r="M12" s="88">
        <f t="shared" si="3"/>
        <v>10</v>
      </c>
      <c r="N12" s="59">
        <v>42.470000000000006</v>
      </c>
      <c r="O12" s="60">
        <v>550</v>
      </c>
      <c r="P12" s="186"/>
      <c r="Q12" s="88">
        <f t="shared" si="4"/>
        <v>10</v>
      </c>
      <c r="R12" s="59"/>
      <c r="S12" s="60"/>
      <c r="T12" s="186"/>
      <c r="U12" s="88">
        <f t="shared" si="5"/>
        <v>10</v>
      </c>
      <c r="V12" s="59">
        <v>22.53</v>
      </c>
      <c r="W12" s="60">
        <v>143</v>
      </c>
      <c r="X12" s="186"/>
      <c r="Y12" s="88">
        <f t="shared" si="6"/>
        <v>10</v>
      </c>
      <c r="Z12" s="59"/>
      <c r="AA12" s="60"/>
      <c r="AB12" s="186"/>
      <c r="AC12" s="88">
        <f t="shared" si="7"/>
        <v>10</v>
      </c>
      <c r="AD12" s="59">
        <v>13.38</v>
      </c>
      <c r="AE12" s="60">
        <v>30</v>
      </c>
      <c r="AF12" s="186"/>
      <c r="AG12" s="88">
        <f t="shared" si="8"/>
        <v>10</v>
      </c>
      <c r="AH12" s="59">
        <v>64.08</v>
      </c>
      <c r="AI12" s="54">
        <v>920</v>
      </c>
      <c r="AJ12" s="186"/>
      <c r="AK12" s="88">
        <f t="shared" si="9"/>
        <v>10</v>
      </c>
      <c r="AL12" s="59">
        <v>10.19</v>
      </c>
      <c r="AM12" s="60">
        <v>20</v>
      </c>
      <c r="AN12" s="186"/>
      <c r="AO12" s="88">
        <f t="shared" si="10"/>
        <v>10</v>
      </c>
      <c r="AP12" s="59">
        <v>10</v>
      </c>
      <c r="AQ12" s="60">
        <v>30</v>
      </c>
      <c r="AR12" s="186"/>
      <c r="AS12" s="88">
        <f t="shared" si="11"/>
        <v>10</v>
      </c>
      <c r="AT12" s="59">
        <v>32.99</v>
      </c>
      <c r="AU12" s="60">
        <v>912</v>
      </c>
      <c r="AV12" s="186"/>
      <c r="AW12" s="73"/>
    </row>
    <row r="13" spans="1:49" s="54" customFormat="1" ht="11.25" x14ac:dyDescent="0.2">
      <c r="A13" s="86">
        <f t="shared" si="0"/>
        <v>11</v>
      </c>
      <c r="B13" s="59">
        <v>10</v>
      </c>
      <c r="C13" s="60">
        <v>15</v>
      </c>
      <c r="D13" s="186"/>
      <c r="E13" s="88">
        <f t="shared" si="1"/>
        <v>11</v>
      </c>
      <c r="F13" s="59">
        <v>13.15</v>
      </c>
      <c r="G13" s="60">
        <v>105</v>
      </c>
      <c r="H13" s="186"/>
      <c r="I13" s="88">
        <f t="shared" si="2"/>
        <v>11</v>
      </c>
      <c r="J13" s="59"/>
      <c r="K13" s="60"/>
      <c r="L13" s="186"/>
      <c r="M13" s="88">
        <f t="shared" si="3"/>
        <v>11</v>
      </c>
      <c r="N13" s="59">
        <v>15.120000000000001</v>
      </c>
      <c r="O13" s="60">
        <v>35</v>
      </c>
      <c r="P13" s="186"/>
      <c r="Q13" s="88">
        <f t="shared" si="4"/>
        <v>11</v>
      </c>
      <c r="R13" s="59">
        <v>17.45</v>
      </c>
      <c r="S13" s="60">
        <v>48</v>
      </c>
      <c r="T13" s="186"/>
      <c r="U13" s="88">
        <f t="shared" si="5"/>
        <v>11</v>
      </c>
      <c r="V13" s="59">
        <v>24.25</v>
      </c>
      <c r="W13" s="60">
        <v>86</v>
      </c>
      <c r="X13" s="186">
        <v>6.9444444444444441E-3</v>
      </c>
      <c r="Y13" s="88">
        <f t="shared" si="6"/>
        <v>11</v>
      </c>
      <c r="Z13" s="59"/>
      <c r="AA13" s="60"/>
      <c r="AB13" s="186"/>
      <c r="AC13" s="88">
        <f t="shared" si="7"/>
        <v>11</v>
      </c>
      <c r="AD13" s="59">
        <v>27.200000000000003</v>
      </c>
      <c r="AE13" s="60">
        <v>567</v>
      </c>
      <c r="AF13" s="186"/>
      <c r="AG13" s="88">
        <f t="shared" si="8"/>
        <v>11</v>
      </c>
      <c r="AH13" s="59">
        <v>43.230000000000004</v>
      </c>
      <c r="AI13" s="60">
        <v>318</v>
      </c>
      <c r="AJ13" s="186">
        <v>1.0416666666666666E-2</v>
      </c>
      <c r="AK13" s="88">
        <f t="shared" si="9"/>
        <v>11</v>
      </c>
      <c r="AL13" s="59">
        <v>5</v>
      </c>
      <c r="AM13" s="60">
        <v>20</v>
      </c>
      <c r="AN13" s="186"/>
      <c r="AO13" s="88">
        <f t="shared" si="10"/>
        <v>11</v>
      </c>
      <c r="AP13" s="59">
        <v>13.35</v>
      </c>
      <c r="AQ13" s="60">
        <v>45</v>
      </c>
      <c r="AR13" s="186"/>
      <c r="AS13" s="88">
        <f t="shared" si="11"/>
        <v>11</v>
      </c>
      <c r="AT13" s="59">
        <v>21.56</v>
      </c>
      <c r="AU13" s="60">
        <v>78</v>
      </c>
      <c r="AV13" s="186"/>
      <c r="AW13" s="73"/>
    </row>
    <row r="14" spans="1:49" s="54" customFormat="1" ht="11.25" x14ac:dyDescent="0.2">
      <c r="A14" s="86">
        <f t="shared" si="0"/>
        <v>12</v>
      </c>
      <c r="B14" s="59">
        <v>10</v>
      </c>
      <c r="C14" s="60">
        <v>15</v>
      </c>
      <c r="D14" s="186"/>
      <c r="E14" s="88">
        <f t="shared" si="1"/>
        <v>12</v>
      </c>
      <c r="F14" s="59">
        <v>14.3</v>
      </c>
      <c r="G14" s="60">
        <v>100</v>
      </c>
      <c r="H14" s="186"/>
      <c r="I14" s="88">
        <f t="shared" si="2"/>
        <v>12</v>
      </c>
      <c r="J14" s="59"/>
      <c r="K14" s="60"/>
      <c r="L14" s="186"/>
      <c r="M14" s="88">
        <f t="shared" si="3"/>
        <v>12</v>
      </c>
      <c r="N14" s="59">
        <v>6.5</v>
      </c>
      <c r="O14" s="60">
        <v>20</v>
      </c>
      <c r="P14" s="186"/>
      <c r="Q14" s="88">
        <f t="shared" si="4"/>
        <v>12</v>
      </c>
      <c r="R14" s="59">
        <v>11</v>
      </c>
      <c r="S14" s="60">
        <v>45</v>
      </c>
      <c r="T14" s="186"/>
      <c r="U14" s="88">
        <f t="shared" si="5"/>
        <v>12</v>
      </c>
      <c r="V14" s="59">
        <v>20</v>
      </c>
      <c r="W14" s="60">
        <v>26</v>
      </c>
      <c r="X14" s="186"/>
      <c r="Y14" s="88">
        <f t="shared" si="6"/>
        <v>12</v>
      </c>
      <c r="Z14" s="59"/>
      <c r="AA14" s="60"/>
      <c r="AB14" s="186"/>
      <c r="AC14" s="88">
        <f t="shared" si="7"/>
        <v>12</v>
      </c>
      <c r="AD14" s="59">
        <v>5</v>
      </c>
      <c r="AE14" s="91">
        <v>20</v>
      </c>
      <c r="AF14" s="186"/>
      <c r="AG14" s="88">
        <f t="shared" si="8"/>
        <v>12</v>
      </c>
      <c r="AH14" s="59">
        <v>21.2</v>
      </c>
      <c r="AI14" s="60">
        <v>100</v>
      </c>
      <c r="AJ14" s="186"/>
      <c r="AK14" s="88">
        <f t="shared" si="9"/>
        <v>12</v>
      </c>
      <c r="AL14" s="59">
        <v>14.48</v>
      </c>
      <c r="AM14" s="60">
        <v>32</v>
      </c>
      <c r="AN14" s="186"/>
      <c r="AO14" s="88">
        <f t="shared" si="10"/>
        <v>12</v>
      </c>
      <c r="AP14" s="59">
        <v>107</v>
      </c>
      <c r="AQ14" s="60">
        <v>220</v>
      </c>
      <c r="AR14" s="186"/>
      <c r="AS14" s="88">
        <f t="shared" si="11"/>
        <v>12</v>
      </c>
      <c r="AT14" s="59">
        <v>31.72</v>
      </c>
      <c r="AU14" s="60">
        <v>20</v>
      </c>
      <c r="AV14" s="186">
        <v>1.0416666666666666E-2</v>
      </c>
      <c r="AW14" s="73"/>
    </row>
    <row r="15" spans="1:49" s="54" customFormat="1" ht="11.25" x14ac:dyDescent="0.2">
      <c r="A15" s="86">
        <f t="shared" si="0"/>
        <v>13</v>
      </c>
      <c r="B15" s="59">
        <v>15.23</v>
      </c>
      <c r="C15" s="60">
        <v>60</v>
      </c>
      <c r="D15" s="186"/>
      <c r="E15" s="88">
        <f t="shared" si="1"/>
        <v>13</v>
      </c>
      <c r="F15" s="59">
        <v>26.22</v>
      </c>
      <c r="G15" s="60">
        <v>285</v>
      </c>
      <c r="H15" s="186"/>
      <c r="I15" s="88">
        <f t="shared" si="2"/>
        <v>13</v>
      </c>
      <c r="J15" s="59">
        <v>20.25</v>
      </c>
      <c r="K15" s="60">
        <v>10</v>
      </c>
      <c r="L15" s="186"/>
      <c r="M15" s="88">
        <f t="shared" si="3"/>
        <v>13</v>
      </c>
      <c r="N15" s="59"/>
      <c r="O15" s="60"/>
      <c r="P15" s="186"/>
      <c r="Q15" s="88">
        <f t="shared" si="4"/>
        <v>13</v>
      </c>
      <c r="R15" s="59">
        <v>18.48</v>
      </c>
      <c r="S15" s="60">
        <v>50</v>
      </c>
      <c r="T15" s="186"/>
      <c r="U15" s="88">
        <f t="shared" si="5"/>
        <v>13</v>
      </c>
      <c r="V15" s="59">
        <v>17</v>
      </c>
      <c r="W15" s="60">
        <v>68</v>
      </c>
      <c r="X15" s="186">
        <v>1.0416666666666666E-2</v>
      </c>
      <c r="Y15" s="88">
        <f t="shared" si="6"/>
        <v>13</v>
      </c>
      <c r="Z15" s="59"/>
      <c r="AA15" s="60"/>
      <c r="AB15" s="186"/>
      <c r="AC15" s="88">
        <f t="shared" si="7"/>
        <v>13</v>
      </c>
      <c r="AD15" s="59">
        <v>56.519999999999996</v>
      </c>
      <c r="AE15" s="60">
        <v>1320</v>
      </c>
      <c r="AF15" s="186"/>
      <c r="AG15" s="88">
        <f t="shared" si="8"/>
        <v>13</v>
      </c>
      <c r="AH15" s="59">
        <v>11.79</v>
      </c>
      <c r="AI15" s="60">
        <v>30</v>
      </c>
      <c r="AJ15" s="186"/>
      <c r="AK15" s="88">
        <f t="shared" si="9"/>
        <v>13</v>
      </c>
      <c r="AL15" s="59">
        <v>19.329999999999998</v>
      </c>
      <c r="AM15" s="60">
        <v>20</v>
      </c>
      <c r="AN15" s="186"/>
      <c r="AO15" s="88">
        <f t="shared" si="10"/>
        <v>13</v>
      </c>
      <c r="AP15" s="59">
        <v>32.520000000000003</v>
      </c>
      <c r="AQ15" s="60">
        <v>150</v>
      </c>
      <c r="AR15" s="186"/>
      <c r="AS15" s="88">
        <f t="shared" si="11"/>
        <v>13</v>
      </c>
      <c r="AT15" s="59"/>
      <c r="AU15" s="60"/>
      <c r="AV15" s="186"/>
      <c r="AW15" s="73"/>
    </row>
    <row r="16" spans="1:49" s="54" customFormat="1" ht="11.25" x14ac:dyDescent="0.2">
      <c r="A16" s="86">
        <f t="shared" si="0"/>
        <v>14</v>
      </c>
      <c r="B16" s="59">
        <v>15</v>
      </c>
      <c r="C16" s="60">
        <v>30</v>
      </c>
      <c r="D16" s="186"/>
      <c r="E16" s="88">
        <f t="shared" si="1"/>
        <v>14</v>
      </c>
      <c r="F16" s="59">
        <v>30.559999999999995</v>
      </c>
      <c r="G16" s="60">
        <v>232</v>
      </c>
      <c r="H16" s="186"/>
      <c r="I16" s="88">
        <f t="shared" si="2"/>
        <v>14</v>
      </c>
      <c r="J16" s="59">
        <v>11</v>
      </c>
      <c r="K16" s="60">
        <v>45</v>
      </c>
      <c r="L16" s="186"/>
      <c r="M16" s="88">
        <f t="shared" si="3"/>
        <v>14</v>
      </c>
      <c r="N16" s="59">
        <v>10.76</v>
      </c>
      <c r="O16" s="60">
        <v>72</v>
      </c>
      <c r="P16" s="186"/>
      <c r="Q16" s="88">
        <f t="shared" si="4"/>
        <v>14</v>
      </c>
      <c r="R16" s="59">
        <v>53.6</v>
      </c>
      <c r="S16" s="54">
        <v>590</v>
      </c>
      <c r="T16" s="186"/>
      <c r="U16" s="88">
        <f t="shared" si="5"/>
        <v>14</v>
      </c>
      <c r="V16" s="59">
        <v>21.330000000000002</v>
      </c>
      <c r="W16" s="60">
        <v>68</v>
      </c>
      <c r="X16" s="186">
        <v>1.0416666666666666E-2</v>
      </c>
      <c r="Y16" s="88">
        <f t="shared" si="6"/>
        <v>14</v>
      </c>
      <c r="Z16" s="59"/>
      <c r="AA16" s="60"/>
      <c r="AB16" s="186"/>
      <c r="AC16" s="88">
        <f t="shared" si="7"/>
        <v>14</v>
      </c>
      <c r="AD16" s="59">
        <v>111.31</v>
      </c>
      <c r="AE16" s="60">
        <v>1460</v>
      </c>
      <c r="AF16" s="186"/>
      <c r="AG16" s="88">
        <f t="shared" si="8"/>
        <v>14</v>
      </c>
      <c r="AH16" s="59">
        <v>23.25</v>
      </c>
      <c r="AI16" s="60">
        <v>110</v>
      </c>
      <c r="AJ16" s="186"/>
      <c r="AK16" s="88">
        <f t="shared" si="9"/>
        <v>14</v>
      </c>
      <c r="AL16" s="59">
        <v>16.38</v>
      </c>
      <c r="AM16" s="60">
        <v>90</v>
      </c>
      <c r="AN16" s="186"/>
      <c r="AO16" s="88">
        <f t="shared" si="10"/>
        <v>14</v>
      </c>
      <c r="AP16" s="59">
        <v>15.52</v>
      </c>
      <c r="AQ16" s="60">
        <v>70</v>
      </c>
      <c r="AR16" s="186"/>
      <c r="AS16" s="88">
        <f t="shared" si="11"/>
        <v>14</v>
      </c>
      <c r="AT16" s="59">
        <v>18.34</v>
      </c>
      <c r="AU16" s="60">
        <v>40</v>
      </c>
      <c r="AV16" s="186"/>
      <c r="AW16" s="73"/>
    </row>
    <row r="17" spans="1:49" s="54" customFormat="1" ht="11.25" x14ac:dyDescent="0.2">
      <c r="A17" s="86">
        <f t="shared" si="0"/>
        <v>15</v>
      </c>
      <c r="B17" s="59">
        <v>10</v>
      </c>
      <c r="C17" s="60">
        <v>15</v>
      </c>
      <c r="D17" s="186">
        <v>4.1666666666666664E-2</v>
      </c>
      <c r="E17" s="88">
        <f t="shared" si="1"/>
        <v>15</v>
      </c>
      <c r="F17" s="59">
        <v>10</v>
      </c>
      <c r="G17" s="60">
        <v>30</v>
      </c>
      <c r="H17" s="186"/>
      <c r="I17" s="88">
        <f t="shared" si="2"/>
        <v>15</v>
      </c>
      <c r="J17" s="59"/>
      <c r="K17" s="60"/>
      <c r="L17" s="186"/>
      <c r="M17" s="88">
        <f t="shared" si="3"/>
        <v>15</v>
      </c>
      <c r="N17" s="59">
        <v>16.27</v>
      </c>
      <c r="O17" s="60">
        <v>97</v>
      </c>
      <c r="P17" s="186"/>
      <c r="Q17" s="88">
        <f t="shared" si="4"/>
        <v>15</v>
      </c>
      <c r="R17" s="59"/>
      <c r="T17" s="186">
        <v>3.2638888888888891E-2</v>
      </c>
      <c r="U17" s="88">
        <f t="shared" si="5"/>
        <v>15</v>
      </c>
      <c r="V17" s="59">
        <v>13.38</v>
      </c>
      <c r="W17" s="60">
        <v>30</v>
      </c>
      <c r="X17" s="186"/>
      <c r="Y17" s="88">
        <f t="shared" si="6"/>
        <v>15</v>
      </c>
      <c r="Z17" s="59"/>
      <c r="AA17" s="60"/>
      <c r="AB17" s="186"/>
      <c r="AC17" s="88">
        <f t="shared" si="7"/>
        <v>15</v>
      </c>
      <c r="AD17" s="59">
        <v>66.929999999999993</v>
      </c>
      <c r="AE17" s="60">
        <v>752</v>
      </c>
      <c r="AF17" s="186"/>
      <c r="AG17" s="88">
        <f t="shared" si="8"/>
        <v>15</v>
      </c>
      <c r="AH17" s="59">
        <v>23.82</v>
      </c>
      <c r="AI17" s="60">
        <v>115</v>
      </c>
      <c r="AJ17" s="186"/>
      <c r="AK17" s="88">
        <f t="shared" si="9"/>
        <v>15</v>
      </c>
      <c r="AL17" s="59">
        <v>60.5</v>
      </c>
      <c r="AM17" s="60">
        <v>150</v>
      </c>
      <c r="AN17" s="186"/>
      <c r="AO17" s="88">
        <f t="shared" si="10"/>
        <v>15</v>
      </c>
      <c r="AP17" s="59"/>
      <c r="AQ17" s="60"/>
      <c r="AR17" s="186"/>
      <c r="AS17" s="88">
        <f t="shared" si="11"/>
        <v>15</v>
      </c>
      <c r="AT17" s="59">
        <v>14.05</v>
      </c>
      <c r="AU17" s="60">
        <v>85</v>
      </c>
      <c r="AV17" s="186"/>
      <c r="AW17" s="73"/>
    </row>
    <row r="18" spans="1:49" s="54" customFormat="1" ht="11.25" x14ac:dyDescent="0.2">
      <c r="A18" s="86">
        <f t="shared" si="0"/>
        <v>16</v>
      </c>
      <c r="B18" s="59">
        <v>23</v>
      </c>
      <c r="C18" s="60">
        <v>355</v>
      </c>
      <c r="D18" s="186"/>
      <c r="E18" s="88">
        <f t="shared" si="1"/>
        <v>16</v>
      </c>
      <c r="F18" s="59">
        <v>10</v>
      </c>
      <c r="G18" s="60">
        <v>30</v>
      </c>
      <c r="H18" s="186"/>
      <c r="I18" s="88">
        <f t="shared" si="2"/>
        <v>16</v>
      </c>
      <c r="J18" s="59">
        <v>19.2</v>
      </c>
      <c r="K18" s="60">
        <v>30</v>
      </c>
      <c r="L18" s="186"/>
      <c r="M18" s="88">
        <f t="shared" si="3"/>
        <v>16</v>
      </c>
      <c r="N18" s="59">
        <v>16.64</v>
      </c>
      <c r="O18" s="60">
        <v>12</v>
      </c>
      <c r="P18" s="186">
        <v>1.3888888888888888E-2</v>
      </c>
      <c r="Q18" s="88">
        <f t="shared" si="4"/>
        <v>16</v>
      </c>
      <c r="R18" s="59">
        <v>28.259999999999998</v>
      </c>
      <c r="S18" s="60">
        <v>80</v>
      </c>
      <c r="T18" s="186"/>
      <c r="U18" s="88">
        <f t="shared" si="5"/>
        <v>16</v>
      </c>
      <c r="V18" s="59">
        <v>25.1</v>
      </c>
      <c r="W18" s="60">
        <v>56</v>
      </c>
      <c r="X18" s="186"/>
      <c r="Y18" s="88">
        <f t="shared" si="6"/>
        <v>16</v>
      </c>
      <c r="Z18" s="59"/>
      <c r="AA18" s="60"/>
      <c r="AB18" s="186">
        <v>2.0833333333333332E-2</v>
      </c>
      <c r="AC18" s="88">
        <f t="shared" si="7"/>
        <v>16</v>
      </c>
      <c r="AD18" s="59">
        <v>9.0400000000000009</v>
      </c>
      <c r="AE18" s="60">
        <v>37</v>
      </c>
      <c r="AF18" s="186"/>
      <c r="AG18" s="88">
        <f t="shared" si="8"/>
        <v>16</v>
      </c>
      <c r="AH18" s="59">
        <v>11.38</v>
      </c>
      <c r="AI18" s="60">
        <v>55</v>
      </c>
      <c r="AJ18" s="186"/>
      <c r="AK18" s="88">
        <f t="shared" si="9"/>
        <v>16</v>
      </c>
      <c r="AL18" s="59">
        <v>50.59</v>
      </c>
      <c r="AM18" s="60">
        <v>270</v>
      </c>
      <c r="AN18" s="186"/>
      <c r="AO18" s="88">
        <f t="shared" si="10"/>
        <v>16</v>
      </c>
      <c r="AP18" s="59">
        <v>7.9</v>
      </c>
      <c r="AQ18" s="60">
        <v>20</v>
      </c>
      <c r="AR18" s="186">
        <v>1.0416666666666666E-2</v>
      </c>
      <c r="AS18" s="88">
        <f t="shared" si="11"/>
        <v>16</v>
      </c>
      <c r="AT18" s="59">
        <v>14.23</v>
      </c>
      <c r="AU18" s="60">
        <v>40</v>
      </c>
      <c r="AV18" s="186"/>
      <c r="AW18" s="73"/>
    </row>
    <row r="19" spans="1:49" s="54" customFormat="1" ht="11.25" x14ac:dyDescent="0.2">
      <c r="A19" s="86">
        <f t="shared" si="0"/>
        <v>17</v>
      </c>
      <c r="B19" s="59">
        <v>20.259999999999998</v>
      </c>
      <c r="C19" s="60">
        <v>75</v>
      </c>
      <c r="D19" s="186"/>
      <c r="E19" s="88">
        <f t="shared" si="1"/>
        <v>17</v>
      </c>
      <c r="F19" s="59">
        <v>10.5</v>
      </c>
      <c r="G19" s="60">
        <v>30</v>
      </c>
      <c r="H19" s="186"/>
      <c r="I19" s="88">
        <f t="shared" si="2"/>
        <v>17</v>
      </c>
      <c r="J19" s="59">
        <v>22.05</v>
      </c>
      <c r="K19" s="60">
        <v>127</v>
      </c>
      <c r="L19" s="186"/>
      <c r="M19" s="88">
        <f t="shared" si="3"/>
        <v>17</v>
      </c>
      <c r="N19" s="59">
        <v>16.600000000000001</v>
      </c>
      <c r="O19" s="60">
        <v>68</v>
      </c>
      <c r="P19" s="186">
        <v>4.1666666666666664E-2</v>
      </c>
      <c r="Q19" s="88">
        <f t="shared" si="4"/>
        <v>17</v>
      </c>
      <c r="R19" s="59">
        <v>13.65</v>
      </c>
      <c r="S19" s="60">
        <v>30</v>
      </c>
      <c r="T19" s="186"/>
      <c r="U19" s="88">
        <f t="shared" si="5"/>
        <v>17</v>
      </c>
      <c r="V19" s="59">
        <v>22.074999999999999</v>
      </c>
      <c r="W19" s="60">
        <v>50</v>
      </c>
      <c r="X19" s="186"/>
      <c r="Y19" s="88">
        <f t="shared" si="6"/>
        <v>17</v>
      </c>
      <c r="Z19" s="59">
        <v>43.6</v>
      </c>
      <c r="AA19" s="60">
        <v>1030</v>
      </c>
      <c r="AB19" s="186"/>
      <c r="AC19" s="88">
        <f t="shared" si="7"/>
        <v>17</v>
      </c>
      <c r="AD19" s="59">
        <v>5</v>
      </c>
      <c r="AE19" s="60">
        <v>20</v>
      </c>
      <c r="AF19" s="186"/>
      <c r="AG19" s="88">
        <f t="shared" si="8"/>
        <v>17</v>
      </c>
      <c r="AH19" s="59">
        <v>62.3</v>
      </c>
      <c r="AI19" s="60">
        <v>163</v>
      </c>
      <c r="AJ19" s="186"/>
      <c r="AK19" s="88">
        <f t="shared" si="9"/>
        <v>17</v>
      </c>
      <c r="AL19" s="59">
        <v>14</v>
      </c>
      <c r="AM19" s="60">
        <v>115</v>
      </c>
      <c r="AN19" s="186"/>
      <c r="AO19" s="88">
        <f t="shared" si="10"/>
        <v>17</v>
      </c>
      <c r="AP19" s="59">
        <v>10.11</v>
      </c>
      <c r="AQ19" s="60">
        <v>30</v>
      </c>
      <c r="AR19" s="186"/>
      <c r="AS19" s="88">
        <f t="shared" si="11"/>
        <v>17</v>
      </c>
      <c r="AT19" s="59">
        <v>22.68</v>
      </c>
      <c r="AU19" s="60">
        <v>20</v>
      </c>
      <c r="AV19" s="186">
        <v>1.0416666666666666E-2</v>
      </c>
      <c r="AW19" s="73"/>
    </row>
    <row r="20" spans="1:49" s="54" customFormat="1" ht="11.25" x14ac:dyDescent="0.2">
      <c r="A20" s="86">
        <f t="shared" si="0"/>
        <v>18</v>
      </c>
      <c r="B20" s="59">
        <v>11.14</v>
      </c>
      <c r="C20" s="60">
        <v>38</v>
      </c>
      <c r="D20" s="186"/>
      <c r="E20" s="88">
        <f t="shared" si="1"/>
        <v>18</v>
      </c>
      <c r="F20" s="59">
        <v>24.66</v>
      </c>
      <c r="G20" s="60">
        <v>25</v>
      </c>
      <c r="H20" s="186"/>
      <c r="I20" s="88">
        <f t="shared" si="2"/>
        <v>18</v>
      </c>
      <c r="J20" s="59">
        <v>19.2</v>
      </c>
      <c r="K20" s="60">
        <v>64</v>
      </c>
      <c r="L20" s="186"/>
      <c r="M20" s="88">
        <f t="shared" si="3"/>
        <v>18</v>
      </c>
      <c r="N20" s="59">
        <v>11</v>
      </c>
      <c r="O20" s="60">
        <v>30</v>
      </c>
      <c r="P20" s="186"/>
      <c r="Q20" s="88">
        <f t="shared" si="4"/>
        <v>18</v>
      </c>
      <c r="R20" s="59">
        <v>14.385</v>
      </c>
      <c r="S20" s="60">
        <v>30</v>
      </c>
      <c r="T20" s="186"/>
      <c r="U20" s="88">
        <f t="shared" si="5"/>
        <v>18</v>
      </c>
      <c r="V20" s="59">
        <v>15.225</v>
      </c>
      <c r="W20" s="60">
        <v>80</v>
      </c>
      <c r="X20" s="186"/>
      <c r="Y20" s="88">
        <f t="shared" si="6"/>
        <v>18</v>
      </c>
      <c r="Z20" s="59">
        <v>10</v>
      </c>
      <c r="AA20" s="60">
        <v>30</v>
      </c>
      <c r="AB20" s="186"/>
      <c r="AC20" s="88">
        <f t="shared" si="7"/>
        <v>18</v>
      </c>
      <c r="AD20" s="59">
        <v>19.5</v>
      </c>
      <c r="AE20" s="60">
        <v>40</v>
      </c>
      <c r="AF20" s="186"/>
      <c r="AG20" s="88">
        <f t="shared" si="8"/>
        <v>18</v>
      </c>
      <c r="AH20" s="59"/>
      <c r="AI20" s="60"/>
      <c r="AJ20" s="186">
        <v>4.6527777777777779E-2</v>
      </c>
      <c r="AK20" s="88">
        <f t="shared" si="9"/>
        <v>18</v>
      </c>
      <c r="AL20" s="59">
        <v>10</v>
      </c>
      <c r="AM20" s="60">
        <v>5</v>
      </c>
      <c r="AN20" s="186"/>
      <c r="AO20" s="88">
        <f t="shared" si="10"/>
        <v>18</v>
      </c>
      <c r="AP20" s="59">
        <v>11.31</v>
      </c>
      <c r="AQ20" s="60">
        <v>40</v>
      </c>
      <c r="AR20" s="186"/>
      <c r="AS20" s="88">
        <f t="shared" si="11"/>
        <v>18</v>
      </c>
      <c r="AT20" s="59">
        <v>30.3</v>
      </c>
      <c r="AU20" s="60">
        <v>270</v>
      </c>
      <c r="AV20" s="186"/>
      <c r="AW20" s="73"/>
    </row>
    <row r="21" spans="1:49" s="54" customFormat="1" ht="11.25" x14ac:dyDescent="0.2">
      <c r="A21" s="86">
        <f t="shared" si="0"/>
        <v>19</v>
      </c>
      <c r="B21" s="59">
        <v>10</v>
      </c>
      <c r="C21" s="60">
        <v>15</v>
      </c>
      <c r="D21" s="186"/>
      <c r="E21" s="88">
        <f t="shared" si="1"/>
        <v>19</v>
      </c>
      <c r="F21" s="59">
        <v>12.45</v>
      </c>
      <c r="G21" s="60">
        <v>45</v>
      </c>
      <c r="H21" s="186"/>
      <c r="I21" s="88">
        <f t="shared" si="2"/>
        <v>19</v>
      </c>
      <c r="J21" s="59">
        <v>101.2</v>
      </c>
      <c r="K21" s="60">
        <v>190</v>
      </c>
      <c r="L21" s="186"/>
      <c r="M21" s="88">
        <f t="shared" si="3"/>
        <v>19</v>
      </c>
      <c r="N21" s="59">
        <v>10</v>
      </c>
      <c r="O21" s="60">
        <v>30</v>
      </c>
      <c r="P21" s="186"/>
      <c r="Q21" s="88">
        <f t="shared" si="4"/>
        <v>19</v>
      </c>
      <c r="R21" s="59">
        <v>10</v>
      </c>
      <c r="S21" s="60">
        <v>3</v>
      </c>
      <c r="T21" s="186"/>
      <c r="U21" s="88">
        <f t="shared" si="5"/>
        <v>19</v>
      </c>
      <c r="V21" s="59"/>
      <c r="W21" s="60"/>
      <c r="X21" s="186"/>
      <c r="Y21" s="88">
        <f t="shared" si="6"/>
        <v>19</v>
      </c>
      <c r="Z21" s="59">
        <v>10</v>
      </c>
      <c r="AA21" s="60">
        <v>30</v>
      </c>
      <c r="AB21" s="186"/>
      <c r="AC21" s="88">
        <f t="shared" si="7"/>
        <v>19</v>
      </c>
      <c r="AD21" s="59">
        <v>22.400000000000002</v>
      </c>
      <c r="AE21" s="60">
        <v>465</v>
      </c>
      <c r="AF21" s="186"/>
      <c r="AG21" s="88">
        <f t="shared" si="8"/>
        <v>19</v>
      </c>
      <c r="AH21" s="59">
        <v>19.48</v>
      </c>
      <c r="AI21" s="60">
        <v>70</v>
      </c>
      <c r="AJ21" s="186"/>
      <c r="AK21" s="88">
        <f t="shared" si="9"/>
        <v>19</v>
      </c>
      <c r="AL21" s="59">
        <v>15.94</v>
      </c>
      <c r="AM21" s="60">
        <v>15</v>
      </c>
      <c r="AN21" s="186"/>
      <c r="AO21" s="88">
        <f t="shared" si="10"/>
        <v>19</v>
      </c>
      <c r="AP21" s="59">
        <v>14.36</v>
      </c>
      <c r="AQ21" s="60">
        <v>343</v>
      </c>
      <c r="AR21" s="186"/>
      <c r="AS21" s="88">
        <f t="shared" si="11"/>
        <v>19</v>
      </c>
      <c r="AT21" s="59">
        <v>37.299999999999997</v>
      </c>
      <c r="AU21" s="60">
        <v>153</v>
      </c>
      <c r="AV21" s="186"/>
      <c r="AW21" s="73"/>
    </row>
    <row r="22" spans="1:49" s="54" customFormat="1" ht="11.25" x14ac:dyDescent="0.2">
      <c r="A22" s="86">
        <f t="shared" si="0"/>
        <v>20</v>
      </c>
      <c r="B22" s="59">
        <v>12.5</v>
      </c>
      <c r="C22" s="60">
        <v>31</v>
      </c>
      <c r="D22" s="186"/>
      <c r="E22" s="88">
        <f t="shared" si="1"/>
        <v>20</v>
      </c>
      <c r="F22" s="59">
        <v>20</v>
      </c>
      <c r="G22" s="60">
        <v>35</v>
      </c>
      <c r="H22" s="186"/>
      <c r="I22" s="88">
        <f t="shared" si="2"/>
        <v>20</v>
      </c>
      <c r="J22" s="59">
        <v>23.65</v>
      </c>
      <c r="K22" s="60">
        <v>230</v>
      </c>
      <c r="L22" s="186"/>
      <c r="M22" s="88">
        <f t="shared" si="3"/>
        <v>20</v>
      </c>
      <c r="N22" s="59">
        <v>14.26</v>
      </c>
      <c r="O22" s="60">
        <v>75</v>
      </c>
      <c r="P22" s="186"/>
      <c r="Q22" s="88">
        <f t="shared" si="4"/>
        <v>20</v>
      </c>
      <c r="R22" s="59">
        <v>14</v>
      </c>
      <c r="S22" s="60">
        <v>60</v>
      </c>
      <c r="T22" s="186"/>
      <c r="U22" s="88">
        <f t="shared" si="5"/>
        <v>20</v>
      </c>
      <c r="V22" s="59">
        <v>61.444999999999993</v>
      </c>
      <c r="W22" s="60">
        <v>392</v>
      </c>
      <c r="X22" s="186"/>
      <c r="Y22" s="88">
        <f t="shared" si="6"/>
        <v>20</v>
      </c>
      <c r="Z22" s="59">
        <v>15.2</v>
      </c>
      <c r="AA22" s="60">
        <v>215</v>
      </c>
      <c r="AB22" s="186"/>
      <c r="AC22" s="88">
        <f t="shared" si="7"/>
        <v>20</v>
      </c>
      <c r="AD22" s="59">
        <v>10</v>
      </c>
      <c r="AE22" s="60">
        <v>20</v>
      </c>
      <c r="AF22" s="186">
        <v>1.0416666666666666E-2</v>
      </c>
      <c r="AG22" s="88">
        <f t="shared" si="8"/>
        <v>20</v>
      </c>
      <c r="AH22" s="59">
        <v>21.2</v>
      </c>
      <c r="AI22" s="60">
        <v>100</v>
      </c>
      <c r="AJ22" s="186"/>
      <c r="AK22" s="88">
        <f t="shared" si="9"/>
        <v>20</v>
      </c>
      <c r="AL22" s="59">
        <v>5</v>
      </c>
      <c r="AM22" s="60">
        <v>3</v>
      </c>
      <c r="AN22" s="186"/>
      <c r="AO22" s="88">
        <f t="shared" si="10"/>
        <v>20</v>
      </c>
      <c r="AP22" s="59">
        <v>62.83</v>
      </c>
      <c r="AQ22" s="60">
        <v>410</v>
      </c>
      <c r="AR22" s="186"/>
      <c r="AS22" s="88">
        <f t="shared" si="11"/>
        <v>20</v>
      </c>
      <c r="AT22" s="59">
        <v>10.1</v>
      </c>
      <c r="AU22" s="60">
        <v>25</v>
      </c>
      <c r="AV22" s="186"/>
      <c r="AW22" s="73"/>
    </row>
    <row r="23" spans="1:49" s="54" customFormat="1" ht="11.25" x14ac:dyDescent="0.2">
      <c r="A23" s="86">
        <f t="shared" si="0"/>
        <v>21</v>
      </c>
      <c r="B23" s="59">
        <v>11</v>
      </c>
      <c r="C23" s="60">
        <v>45</v>
      </c>
      <c r="D23" s="186"/>
      <c r="E23" s="88">
        <f t="shared" si="1"/>
        <v>21</v>
      </c>
      <c r="F23" s="59">
        <v>15</v>
      </c>
      <c r="G23" s="60">
        <v>30</v>
      </c>
      <c r="H23" s="186">
        <v>1.7361111111111112E-2</v>
      </c>
      <c r="I23" s="88">
        <f t="shared" si="2"/>
        <v>21</v>
      </c>
      <c r="J23" s="59">
        <v>5</v>
      </c>
      <c r="K23" s="60">
        <v>3</v>
      </c>
      <c r="L23" s="186"/>
      <c r="M23" s="88">
        <f t="shared" si="3"/>
        <v>21</v>
      </c>
      <c r="N23" s="59">
        <v>14</v>
      </c>
      <c r="O23" s="60">
        <v>100</v>
      </c>
      <c r="P23" s="186"/>
      <c r="Q23" s="88">
        <f t="shared" si="4"/>
        <v>21</v>
      </c>
      <c r="R23" s="59">
        <v>75.040000000000006</v>
      </c>
      <c r="S23" s="60">
        <v>1106</v>
      </c>
      <c r="T23" s="186">
        <v>1.0416666666666666E-2</v>
      </c>
      <c r="U23" s="88">
        <f t="shared" si="5"/>
        <v>21</v>
      </c>
      <c r="V23" s="59">
        <v>34</v>
      </c>
      <c r="W23" s="60">
        <v>57</v>
      </c>
      <c r="X23" s="186"/>
      <c r="Y23" s="88">
        <f t="shared" si="6"/>
        <v>21</v>
      </c>
      <c r="Z23" s="59">
        <v>5</v>
      </c>
      <c r="AA23" s="60">
        <v>20</v>
      </c>
      <c r="AB23" s="186"/>
      <c r="AC23" s="88">
        <f t="shared" si="7"/>
        <v>21</v>
      </c>
      <c r="AD23" s="59">
        <v>27.31</v>
      </c>
      <c r="AE23" s="60">
        <v>70</v>
      </c>
      <c r="AF23" s="186">
        <v>1.0416666666666666E-2</v>
      </c>
      <c r="AG23" s="88">
        <f t="shared" si="8"/>
        <v>21</v>
      </c>
      <c r="AH23" s="59">
        <v>22.83</v>
      </c>
      <c r="AI23" s="60">
        <v>172</v>
      </c>
      <c r="AJ23" s="186"/>
      <c r="AK23" s="88">
        <f t="shared" si="9"/>
        <v>21</v>
      </c>
      <c r="AL23" s="59">
        <v>16.350000000000001</v>
      </c>
      <c r="AM23" s="60">
        <v>335</v>
      </c>
      <c r="AN23" s="186"/>
      <c r="AO23" s="88">
        <f t="shared" si="10"/>
        <v>21</v>
      </c>
      <c r="AP23" s="59">
        <v>32.35</v>
      </c>
      <c r="AQ23" s="60">
        <v>275</v>
      </c>
      <c r="AR23" s="186"/>
      <c r="AS23" s="88">
        <f t="shared" si="11"/>
        <v>21</v>
      </c>
      <c r="AT23" s="59">
        <v>14.52</v>
      </c>
      <c r="AU23" s="60">
        <v>45</v>
      </c>
      <c r="AV23" s="186"/>
      <c r="AW23" s="73"/>
    </row>
    <row r="24" spans="1:49" s="54" customFormat="1" ht="11.25" x14ac:dyDescent="0.2">
      <c r="A24" s="86">
        <f t="shared" si="0"/>
        <v>22</v>
      </c>
      <c r="B24" s="59">
        <v>10.14</v>
      </c>
      <c r="C24" s="60">
        <v>35</v>
      </c>
      <c r="D24" s="186"/>
      <c r="E24" s="88">
        <f t="shared" si="1"/>
        <v>22</v>
      </c>
      <c r="F24" s="59">
        <v>29.11</v>
      </c>
      <c r="G24" s="60">
        <v>167</v>
      </c>
      <c r="H24" s="186"/>
      <c r="I24" s="88">
        <f t="shared" si="2"/>
        <v>22</v>
      </c>
      <c r="J24" s="59">
        <v>19.2</v>
      </c>
      <c r="K24" s="60">
        <v>30</v>
      </c>
      <c r="L24" s="186"/>
      <c r="M24" s="88">
        <f t="shared" si="3"/>
        <v>22</v>
      </c>
      <c r="Q24" s="88">
        <f t="shared" si="4"/>
        <v>22</v>
      </c>
      <c r="R24" s="59">
        <v>91.59</v>
      </c>
      <c r="S24" s="54">
        <v>1143</v>
      </c>
      <c r="T24" s="186"/>
      <c r="U24" s="88">
        <f t="shared" si="5"/>
        <v>22</v>
      </c>
      <c r="V24" s="59">
        <v>29.66</v>
      </c>
      <c r="W24" s="60">
        <v>25</v>
      </c>
      <c r="X24" s="186"/>
      <c r="Y24" s="88">
        <f t="shared" si="6"/>
        <v>22</v>
      </c>
      <c r="Z24" s="59">
        <v>11.94</v>
      </c>
      <c r="AA24" s="60">
        <v>63</v>
      </c>
      <c r="AB24" s="186"/>
      <c r="AC24" s="88">
        <f t="shared" si="7"/>
        <v>22</v>
      </c>
      <c r="AD24" s="59">
        <v>11.33</v>
      </c>
      <c r="AE24" s="60">
        <v>45</v>
      </c>
      <c r="AF24" s="186"/>
      <c r="AG24" s="88">
        <f t="shared" si="8"/>
        <v>22</v>
      </c>
      <c r="AH24" s="59">
        <v>21.1</v>
      </c>
      <c r="AI24" s="60">
        <v>360</v>
      </c>
      <c r="AJ24" s="186"/>
      <c r="AK24" s="88">
        <f t="shared" si="9"/>
        <v>22</v>
      </c>
      <c r="AL24" s="59">
        <v>18.13</v>
      </c>
      <c r="AM24" s="60">
        <v>35</v>
      </c>
      <c r="AN24" s="186"/>
      <c r="AO24" s="88">
        <f t="shared" si="10"/>
        <v>22</v>
      </c>
      <c r="AP24" s="59">
        <v>12.7</v>
      </c>
      <c r="AQ24" s="60">
        <v>40</v>
      </c>
      <c r="AR24" s="186"/>
      <c r="AS24" s="88">
        <f t="shared" si="11"/>
        <v>22</v>
      </c>
      <c r="AT24" s="59">
        <v>13.51</v>
      </c>
      <c r="AU24" s="60">
        <v>50</v>
      </c>
      <c r="AV24" s="186"/>
      <c r="AW24" s="73"/>
    </row>
    <row r="25" spans="1:49" s="54" customFormat="1" ht="11.25" x14ac:dyDescent="0.2">
      <c r="A25" s="86">
        <f t="shared" si="0"/>
        <v>23</v>
      </c>
      <c r="B25" s="59"/>
      <c r="C25" s="60"/>
      <c r="D25" s="186"/>
      <c r="E25" s="88">
        <f t="shared" si="1"/>
        <v>23</v>
      </c>
      <c r="F25" s="59"/>
      <c r="G25" s="60"/>
      <c r="H25" s="186"/>
      <c r="I25" s="88">
        <f t="shared" si="2"/>
        <v>23</v>
      </c>
      <c r="J25" s="59">
        <v>19.2</v>
      </c>
      <c r="K25" s="60">
        <v>30</v>
      </c>
      <c r="L25" s="186"/>
      <c r="M25" s="88">
        <f t="shared" si="3"/>
        <v>23</v>
      </c>
      <c r="N25" s="59">
        <v>50</v>
      </c>
      <c r="O25" s="60">
        <v>135</v>
      </c>
      <c r="P25" s="186">
        <v>1.0416666666666666E-2</v>
      </c>
      <c r="Q25" s="88">
        <f t="shared" si="4"/>
        <v>23</v>
      </c>
      <c r="R25" s="59">
        <v>5</v>
      </c>
      <c r="S25" s="60">
        <v>3</v>
      </c>
      <c r="T25" s="186"/>
      <c r="U25" s="88">
        <f t="shared" si="5"/>
        <v>23</v>
      </c>
      <c r="V25" s="59">
        <v>16.484999999999999</v>
      </c>
      <c r="W25" s="60">
        <v>148</v>
      </c>
      <c r="X25" s="186"/>
      <c r="Y25" s="88">
        <f t="shared" si="6"/>
        <v>23</v>
      </c>
      <c r="Z25" s="59">
        <v>10</v>
      </c>
      <c r="AA25" s="60">
        <v>40</v>
      </c>
      <c r="AB25" s="186"/>
      <c r="AC25" s="88">
        <f t="shared" si="7"/>
        <v>23</v>
      </c>
      <c r="AD25" s="59">
        <v>22</v>
      </c>
      <c r="AE25" s="60">
        <v>424</v>
      </c>
      <c r="AF25" s="186"/>
      <c r="AG25" s="88">
        <f t="shared" si="8"/>
        <v>23</v>
      </c>
      <c r="AH25" s="59">
        <v>20.420000000000002</v>
      </c>
      <c r="AI25" s="60">
        <v>105</v>
      </c>
      <c r="AJ25" s="186"/>
      <c r="AK25" s="88">
        <f t="shared" si="9"/>
        <v>23</v>
      </c>
      <c r="AL25" s="59">
        <v>50.44</v>
      </c>
      <c r="AM25" s="60">
        <v>302</v>
      </c>
      <c r="AN25" s="186">
        <v>3.5416666666666666E-2</v>
      </c>
      <c r="AO25" s="88">
        <f t="shared" si="10"/>
        <v>23</v>
      </c>
      <c r="AP25" s="59">
        <v>10.4</v>
      </c>
      <c r="AQ25" s="60">
        <v>25</v>
      </c>
      <c r="AR25" s="186"/>
      <c r="AS25" s="88">
        <f t="shared" si="11"/>
        <v>23</v>
      </c>
      <c r="AT25" s="59">
        <v>10.39</v>
      </c>
      <c r="AU25" s="60">
        <v>185</v>
      </c>
      <c r="AV25" s="186"/>
      <c r="AW25" s="73"/>
    </row>
    <row r="26" spans="1:49" s="54" customFormat="1" ht="11.25" x14ac:dyDescent="0.2">
      <c r="A26" s="86">
        <f t="shared" si="0"/>
        <v>24</v>
      </c>
      <c r="B26" s="59"/>
      <c r="C26" s="60"/>
      <c r="D26" s="186"/>
      <c r="E26" s="88">
        <f t="shared" si="1"/>
        <v>24</v>
      </c>
      <c r="F26" s="59"/>
      <c r="G26" s="60"/>
      <c r="H26" s="186"/>
      <c r="I26" s="88">
        <f t="shared" si="2"/>
        <v>24</v>
      </c>
      <c r="J26" s="59">
        <v>5</v>
      </c>
      <c r="K26" s="60">
        <v>3</v>
      </c>
      <c r="L26" s="186"/>
      <c r="M26" s="88">
        <f t="shared" si="3"/>
        <v>24</v>
      </c>
      <c r="N26" s="59">
        <v>53.66</v>
      </c>
      <c r="O26" s="60">
        <v>568</v>
      </c>
      <c r="P26" s="186"/>
      <c r="Q26" s="88">
        <f t="shared" si="4"/>
        <v>24</v>
      </c>
      <c r="R26" s="59">
        <v>5</v>
      </c>
      <c r="S26" s="60">
        <v>20</v>
      </c>
      <c r="T26" s="186"/>
      <c r="U26" s="88">
        <f t="shared" si="5"/>
        <v>24</v>
      </c>
      <c r="V26" s="59">
        <v>75.95</v>
      </c>
      <c r="W26" s="60">
        <v>773</v>
      </c>
      <c r="X26" s="186"/>
      <c r="Y26" s="88">
        <f t="shared" si="6"/>
        <v>24</v>
      </c>
      <c r="Z26" s="59">
        <v>141.72</v>
      </c>
      <c r="AA26" s="60">
        <v>1479</v>
      </c>
      <c r="AB26" s="186"/>
      <c r="AC26" s="88">
        <f t="shared" si="7"/>
        <v>24</v>
      </c>
      <c r="AD26" s="59">
        <v>38.96</v>
      </c>
      <c r="AE26" s="60">
        <v>587</v>
      </c>
      <c r="AF26" s="186"/>
      <c r="AG26" s="88">
        <f t="shared" si="8"/>
        <v>24</v>
      </c>
      <c r="AH26" s="59">
        <v>38.57</v>
      </c>
      <c r="AI26" s="60">
        <v>260</v>
      </c>
      <c r="AJ26" s="186"/>
      <c r="AK26" s="88">
        <f t="shared" si="9"/>
        <v>24</v>
      </c>
      <c r="AL26" s="59">
        <v>10.31</v>
      </c>
      <c r="AM26" s="60">
        <v>25</v>
      </c>
      <c r="AN26" s="186"/>
      <c r="AO26" s="88">
        <f t="shared" si="10"/>
        <v>24</v>
      </c>
      <c r="AP26" s="59">
        <v>20.329999999999998</v>
      </c>
      <c r="AQ26" s="60">
        <v>50</v>
      </c>
      <c r="AR26" s="186"/>
      <c r="AS26" s="88">
        <f t="shared" si="11"/>
        <v>24</v>
      </c>
      <c r="AT26" s="59">
        <v>6.17</v>
      </c>
      <c r="AU26" s="60">
        <v>3</v>
      </c>
      <c r="AV26" s="186">
        <v>1.5277777777777777E-2</v>
      </c>
      <c r="AW26" s="73"/>
    </row>
    <row r="27" spans="1:49" s="54" customFormat="1" ht="11.25" x14ac:dyDescent="0.2">
      <c r="A27" s="86">
        <f t="shared" si="0"/>
        <v>25</v>
      </c>
      <c r="B27" s="59"/>
      <c r="C27" s="60"/>
      <c r="D27" s="186"/>
      <c r="E27" s="88">
        <f t="shared" si="1"/>
        <v>25</v>
      </c>
      <c r="F27" s="59">
        <v>11.23</v>
      </c>
      <c r="G27" s="60">
        <v>45</v>
      </c>
      <c r="H27" s="186"/>
      <c r="I27" s="88">
        <f t="shared" si="2"/>
        <v>25</v>
      </c>
      <c r="J27" s="59"/>
      <c r="K27" s="60"/>
      <c r="L27" s="186">
        <v>1.0416666666666666E-2</v>
      </c>
      <c r="M27" s="88">
        <f t="shared" si="3"/>
        <v>25</v>
      </c>
      <c r="N27" s="59">
        <v>10</v>
      </c>
      <c r="O27" s="60">
        <v>30</v>
      </c>
      <c r="P27" s="186"/>
      <c r="Q27" s="88">
        <f t="shared" si="4"/>
        <v>25</v>
      </c>
      <c r="R27" s="59">
        <v>11</v>
      </c>
      <c r="S27" s="60">
        <v>45</v>
      </c>
      <c r="T27" s="186"/>
      <c r="U27" s="88">
        <f t="shared" si="5"/>
        <v>25</v>
      </c>
      <c r="V27" s="59">
        <v>22.650000000000002</v>
      </c>
      <c r="W27" s="60">
        <v>54</v>
      </c>
      <c r="X27" s="186">
        <v>6.9444444444444441E-3</v>
      </c>
      <c r="Y27" s="88">
        <f t="shared" si="6"/>
        <v>25</v>
      </c>
      <c r="Z27" s="59">
        <v>10</v>
      </c>
      <c r="AA27" s="60">
        <v>30</v>
      </c>
      <c r="AB27" s="186"/>
      <c r="AC27" s="88">
        <f t="shared" si="7"/>
        <v>25</v>
      </c>
      <c r="AD27" s="59">
        <v>19.3</v>
      </c>
      <c r="AE27" s="60">
        <v>368</v>
      </c>
      <c r="AF27" s="186">
        <v>1.0416666666666666E-2</v>
      </c>
      <c r="AG27" s="88">
        <f t="shared" si="8"/>
        <v>25</v>
      </c>
      <c r="AH27" s="59">
        <v>63.45</v>
      </c>
      <c r="AI27" s="60">
        <v>840</v>
      </c>
      <c r="AJ27" s="186"/>
      <c r="AK27" s="88">
        <f t="shared" si="9"/>
        <v>25</v>
      </c>
      <c r="AL27" s="59">
        <v>11</v>
      </c>
      <c r="AM27" s="60">
        <v>45</v>
      </c>
      <c r="AN27" s="186"/>
      <c r="AO27" s="88">
        <f t="shared" si="10"/>
        <v>25</v>
      </c>
      <c r="AP27" s="59">
        <v>16</v>
      </c>
      <c r="AQ27" s="60">
        <v>20</v>
      </c>
      <c r="AR27" s="186"/>
      <c r="AS27" s="88">
        <f t="shared" si="11"/>
        <v>25</v>
      </c>
      <c r="AT27" s="59">
        <v>10.36</v>
      </c>
      <c r="AU27" s="60">
        <v>80</v>
      </c>
      <c r="AV27" s="186"/>
      <c r="AW27" s="73"/>
    </row>
    <row r="28" spans="1:49" s="54" customFormat="1" ht="11.25" x14ac:dyDescent="0.2">
      <c r="A28" s="86">
        <f t="shared" si="0"/>
        <v>26</v>
      </c>
      <c r="B28" s="59"/>
      <c r="C28" s="60"/>
      <c r="D28" s="186"/>
      <c r="E28" s="88">
        <f t="shared" si="1"/>
        <v>26</v>
      </c>
      <c r="F28" s="59">
        <v>10.73</v>
      </c>
      <c r="G28" s="60">
        <v>4</v>
      </c>
      <c r="H28" s="186"/>
      <c r="I28" s="88">
        <f t="shared" si="2"/>
        <v>26</v>
      </c>
      <c r="J28" s="59">
        <v>56.58</v>
      </c>
      <c r="K28" s="60">
        <v>710</v>
      </c>
      <c r="L28" s="186"/>
      <c r="M28" s="88">
        <f t="shared" si="3"/>
        <v>26</v>
      </c>
      <c r="N28" s="59">
        <v>5</v>
      </c>
      <c r="O28" s="60">
        <v>3</v>
      </c>
      <c r="P28" s="186"/>
      <c r="Q28" s="88">
        <f t="shared" si="4"/>
        <v>26</v>
      </c>
      <c r="R28" s="59">
        <v>45.45</v>
      </c>
      <c r="S28" s="60">
        <v>1080</v>
      </c>
      <c r="T28" s="186"/>
      <c r="U28" s="88">
        <f t="shared" si="5"/>
        <v>26</v>
      </c>
      <c r="V28" s="59">
        <v>10</v>
      </c>
      <c r="W28" s="60">
        <v>40</v>
      </c>
      <c r="X28" s="186">
        <v>2.2222222222222223E-2</v>
      </c>
      <c r="Y28" s="88">
        <f t="shared" si="6"/>
        <v>26</v>
      </c>
      <c r="Z28" s="59">
        <v>10</v>
      </c>
      <c r="AA28" s="60">
        <v>30</v>
      </c>
      <c r="AB28" s="186"/>
      <c r="AC28" s="88">
        <f t="shared" si="7"/>
        <v>26</v>
      </c>
      <c r="AD28" s="59">
        <v>28.599999999999998</v>
      </c>
      <c r="AE28" s="60">
        <v>587</v>
      </c>
      <c r="AF28" s="186"/>
      <c r="AG28" s="88">
        <f t="shared" si="8"/>
        <v>26</v>
      </c>
      <c r="AH28" s="59">
        <v>10.199999999999999</v>
      </c>
      <c r="AI28" s="60">
        <v>5</v>
      </c>
      <c r="AJ28" s="186">
        <v>1.0416666666666666E-2</v>
      </c>
      <c r="AK28" s="88">
        <f t="shared" si="9"/>
        <v>26</v>
      </c>
      <c r="AL28" s="59">
        <v>19.600000000000001</v>
      </c>
      <c r="AM28" s="60">
        <v>440</v>
      </c>
      <c r="AN28" s="186"/>
      <c r="AO28" s="88">
        <f t="shared" si="10"/>
        <v>26</v>
      </c>
      <c r="AP28" s="59">
        <v>65.8</v>
      </c>
      <c r="AQ28" s="60">
        <v>130</v>
      </c>
      <c r="AR28" s="186"/>
      <c r="AS28" s="88">
        <f t="shared" si="11"/>
        <v>26</v>
      </c>
      <c r="AT28" s="59">
        <v>20.72</v>
      </c>
      <c r="AU28" s="60">
        <v>160</v>
      </c>
      <c r="AV28" s="186">
        <v>1.0416666666666666E-2</v>
      </c>
      <c r="AW28" s="73"/>
    </row>
    <row r="29" spans="1:49" s="54" customFormat="1" ht="11.25" x14ac:dyDescent="0.2">
      <c r="A29" s="86">
        <f t="shared" si="0"/>
        <v>27</v>
      </c>
      <c r="B29" s="59"/>
      <c r="C29" s="60"/>
      <c r="D29" s="186"/>
      <c r="E29" s="88">
        <f t="shared" si="1"/>
        <v>27</v>
      </c>
      <c r="F29" s="59">
        <v>91.8</v>
      </c>
      <c r="G29" s="60">
        <v>794</v>
      </c>
      <c r="H29" s="186"/>
      <c r="I29" s="88">
        <f t="shared" si="2"/>
        <v>27</v>
      </c>
      <c r="J29" s="59">
        <v>11</v>
      </c>
      <c r="K29" s="60">
        <v>6</v>
      </c>
      <c r="L29" s="186"/>
      <c r="M29" s="88">
        <f t="shared" si="3"/>
        <v>27</v>
      </c>
      <c r="N29" s="59">
        <v>16.5</v>
      </c>
      <c r="O29" s="60">
        <v>90</v>
      </c>
      <c r="P29" s="186"/>
      <c r="Q29" s="88">
        <f t="shared" si="4"/>
        <v>27</v>
      </c>
      <c r="R29" s="59">
        <v>20.41</v>
      </c>
      <c r="S29" s="60">
        <v>65</v>
      </c>
      <c r="T29" s="186"/>
      <c r="U29" s="88">
        <f t="shared" si="5"/>
        <v>27</v>
      </c>
      <c r="V29" s="59">
        <v>30.3</v>
      </c>
      <c r="W29" s="60">
        <v>270</v>
      </c>
      <c r="X29" s="186">
        <v>2.0833333333333332E-2</v>
      </c>
      <c r="Y29" s="88">
        <f t="shared" si="6"/>
        <v>27</v>
      </c>
      <c r="Z29" s="59">
        <v>15.38</v>
      </c>
      <c r="AA29" s="60">
        <v>30</v>
      </c>
      <c r="AB29" s="186"/>
      <c r="AC29" s="88">
        <f t="shared" si="7"/>
        <v>27</v>
      </c>
      <c r="AD29" s="59">
        <v>71.41</v>
      </c>
      <c r="AE29" s="60">
        <v>845</v>
      </c>
      <c r="AF29" s="186"/>
      <c r="AG29" s="88">
        <f t="shared" si="8"/>
        <v>27</v>
      </c>
      <c r="AH29" s="59">
        <v>8.26</v>
      </c>
      <c r="AI29" s="60">
        <v>70</v>
      </c>
      <c r="AJ29" s="186"/>
      <c r="AK29" s="88">
        <f t="shared" si="9"/>
        <v>27</v>
      </c>
      <c r="AL29" s="59">
        <v>13.97</v>
      </c>
      <c r="AM29" s="60">
        <v>48</v>
      </c>
      <c r="AN29" s="186"/>
      <c r="AO29" s="88">
        <f t="shared" si="10"/>
        <v>27</v>
      </c>
      <c r="AP29" s="59">
        <v>22.46</v>
      </c>
      <c r="AQ29" s="60">
        <v>113</v>
      </c>
      <c r="AR29" s="186">
        <v>1.0416666666666666E-2</v>
      </c>
      <c r="AS29" s="88">
        <f t="shared" si="11"/>
        <v>27</v>
      </c>
      <c r="AT29" s="59">
        <v>19.39</v>
      </c>
      <c r="AU29" s="60">
        <v>30</v>
      </c>
      <c r="AV29" s="186"/>
      <c r="AW29" s="73"/>
    </row>
    <row r="30" spans="1:49" s="54" customFormat="1" ht="11.25" x14ac:dyDescent="0.2">
      <c r="A30" s="86">
        <f t="shared" si="0"/>
        <v>28</v>
      </c>
      <c r="B30" s="59"/>
      <c r="C30" s="60"/>
      <c r="D30" s="186"/>
      <c r="E30" s="88">
        <f t="shared" si="1"/>
        <v>28</v>
      </c>
      <c r="F30" s="59">
        <v>34.700000000000003</v>
      </c>
      <c r="G30" s="60">
        <v>193</v>
      </c>
      <c r="H30" s="186"/>
      <c r="I30" s="88">
        <f t="shared" si="2"/>
        <v>28</v>
      </c>
      <c r="J30" s="59">
        <v>53.839999999999996</v>
      </c>
      <c r="K30" s="60">
        <v>215</v>
      </c>
      <c r="L30" s="186"/>
      <c r="M30" s="88">
        <f t="shared" si="3"/>
        <v>28</v>
      </c>
      <c r="N30" s="59">
        <v>15</v>
      </c>
      <c r="O30" s="60">
        <v>65</v>
      </c>
      <c r="P30" s="186"/>
      <c r="Q30" s="88">
        <f t="shared" si="4"/>
        <v>28</v>
      </c>
      <c r="R30" s="59">
        <v>18.375</v>
      </c>
      <c r="S30" s="60">
        <v>120</v>
      </c>
      <c r="T30" s="186">
        <v>1.0416666666666666E-2</v>
      </c>
      <c r="U30" s="88">
        <f t="shared" si="5"/>
        <v>28</v>
      </c>
      <c r="V30" s="59">
        <v>31.35</v>
      </c>
      <c r="W30" s="60">
        <v>125</v>
      </c>
      <c r="X30" s="186"/>
      <c r="Y30" s="88">
        <f t="shared" si="6"/>
        <v>28</v>
      </c>
      <c r="Z30" s="59">
        <v>17.38</v>
      </c>
      <c r="AA30" s="60">
        <v>30</v>
      </c>
      <c r="AB30" s="186"/>
      <c r="AC30" s="88">
        <f t="shared" si="7"/>
        <v>28</v>
      </c>
      <c r="AD30" s="59">
        <v>72.509999999999991</v>
      </c>
      <c r="AE30" s="60">
        <v>698</v>
      </c>
      <c r="AF30" s="186">
        <v>1.0416666666666666E-2</v>
      </c>
      <c r="AG30" s="88">
        <f t="shared" si="8"/>
        <v>28</v>
      </c>
      <c r="AH30" s="59">
        <v>13.11</v>
      </c>
      <c r="AI30" s="60">
        <v>103</v>
      </c>
      <c r="AJ30" s="186"/>
      <c r="AK30" s="88">
        <f t="shared" si="9"/>
        <v>28</v>
      </c>
      <c r="AL30" s="59">
        <v>12</v>
      </c>
      <c r="AM30" s="60">
        <v>150</v>
      </c>
      <c r="AN30" s="186"/>
      <c r="AO30" s="88">
        <f t="shared" si="10"/>
        <v>28</v>
      </c>
      <c r="AP30" s="59">
        <v>30.56</v>
      </c>
      <c r="AQ30" s="60">
        <v>40</v>
      </c>
      <c r="AR30" s="186"/>
      <c r="AS30" s="88">
        <f t="shared" si="11"/>
        <v>28</v>
      </c>
      <c r="AT30" s="59">
        <v>10.23</v>
      </c>
      <c r="AU30" s="60">
        <v>320</v>
      </c>
      <c r="AV30" s="186"/>
      <c r="AW30" s="73"/>
    </row>
    <row r="31" spans="1:49" s="54" customFormat="1" ht="11.25" x14ac:dyDescent="0.2">
      <c r="A31" s="86">
        <f t="shared" si="0"/>
        <v>29</v>
      </c>
      <c r="B31" s="59"/>
      <c r="C31" s="60"/>
      <c r="D31" s="186"/>
      <c r="E31" s="88">
        <v>29</v>
      </c>
      <c r="F31" s="59">
        <v>24.66</v>
      </c>
      <c r="G31" s="60">
        <v>25</v>
      </c>
      <c r="H31" s="186"/>
      <c r="I31" s="88">
        <f t="shared" si="2"/>
        <v>29</v>
      </c>
      <c r="J31" s="59">
        <v>5</v>
      </c>
      <c r="K31" s="60">
        <v>3</v>
      </c>
      <c r="L31" s="186"/>
      <c r="M31" s="88">
        <f t="shared" si="3"/>
        <v>29</v>
      </c>
      <c r="N31" s="59">
        <v>14.8</v>
      </c>
      <c r="O31" s="60">
        <v>330</v>
      </c>
      <c r="P31" s="186"/>
      <c r="Q31" s="88">
        <f t="shared" si="4"/>
        <v>29</v>
      </c>
      <c r="R31" s="59">
        <v>29.36</v>
      </c>
      <c r="S31" s="60">
        <v>223</v>
      </c>
      <c r="T31" s="186"/>
      <c r="U31" s="88">
        <f t="shared" si="5"/>
        <v>29</v>
      </c>
      <c r="V31" s="59">
        <v>58.209999999999994</v>
      </c>
      <c r="W31" s="60">
        <v>200</v>
      </c>
      <c r="X31" s="186"/>
      <c r="Y31" s="88">
        <f t="shared" si="6"/>
        <v>29</v>
      </c>
      <c r="Z31" s="59">
        <v>19</v>
      </c>
      <c r="AA31" s="60">
        <v>387</v>
      </c>
      <c r="AB31" s="186"/>
      <c r="AC31" s="88">
        <f t="shared" si="7"/>
        <v>29</v>
      </c>
      <c r="AD31" s="59">
        <v>17.8</v>
      </c>
      <c r="AE31" s="60">
        <v>367</v>
      </c>
      <c r="AF31" s="186"/>
      <c r="AG31" s="88">
        <f t="shared" si="8"/>
        <v>29</v>
      </c>
      <c r="AH31" s="59">
        <v>21.31</v>
      </c>
      <c r="AI31" s="60">
        <v>195</v>
      </c>
      <c r="AJ31" s="186"/>
      <c r="AK31" s="88">
        <f t="shared" si="9"/>
        <v>29</v>
      </c>
      <c r="AL31" s="59">
        <v>12.94</v>
      </c>
      <c r="AM31" s="60">
        <v>88</v>
      </c>
      <c r="AN31" s="186">
        <v>1.0416666666666666E-2</v>
      </c>
      <c r="AO31" s="88">
        <f t="shared" si="10"/>
        <v>29</v>
      </c>
      <c r="AP31" s="59">
        <v>14.55</v>
      </c>
      <c r="AQ31" s="60">
        <v>65</v>
      </c>
      <c r="AR31" s="186"/>
      <c r="AS31" s="88">
        <f t="shared" si="11"/>
        <v>29</v>
      </c>
      <c r="AT31" s="59">
        <v>15.41</v>
      </c>
      <c r="AU31" s="60">
        <v>75</v>
      </c>
      <c r="AV31" s="186"/>
      <c r="AW31" s="73"/>
    </row>
    <row r="32" spans="1:49" s="54" customFormat="1" ht="11.25" x14ac:dyDescent="0.2">
      <c r="A32" s="86">
        <f t="shared" si="0"/>
        <v>30</v>
      </c>
      <c r="B32" s="59"/>
      <c r="C32" s="60"/>
      <c r="D32" s="186"/>
      <c r="E32" s="88"/>
      <c r="F32" s="59"/>
      <c r="G32" s="60"/>
      <c r="H32" s="186"/>
      <c r="I32" s="88">
        <f t="shared" si="2"/>
        <v>30</v>
      </c>
      <c r="J32" s="59">
        <v>12</v>
      </c>
      <c r="K32" s="60">
        <v>30</v>
      </c>
      <c r="L32" s="186"/>
      <c r="M32" s="88">
        <f t="shared" si="3"/>
        <v>30</v>
      </c>
      <c r="N32" s="59">
        <v>63.680000000000007</v>
      </c>
      <c r="O32" s="60">
        <v>547</v>
      </c>
      <c r="P32" s="186"/>
      <c r="Q32" s="88">
        <f t="shared" si="4"/>
        <v>30</v>
      </c>
      <c r="R32" s="59">
        <v>5</v>
      </c>
      <c r="S32" s="60">
        <v>3</v>
      </c>
      <c r="T32" s="186"/>
      <c r="U32" s="88">
        <f t="shared" si="5"/>
        <v>30</v>
      </c>
      <c r="V32" s="59">
        <v>10</v>
      </c>
      <c r="W32" s="60">
        <v>15</v>
      </c>
      <c r="X32" s="186"/>
      <c r="Y32" s="88">
        <f t="shared" si="6"/>
        <v>30</v>
      </c>
      <c r="Z32" s="59">
        <v>54.2</v>
      </c>
      <c r="AA32" s="60">
        <v>901</v>
      </c>
      <c r="AB32" s="186"/>
      <c r="AC32" s="88">
        <f t="shared" si="7"/>
        <v>30</v>
      </c>
      <c r="AD32" s="59">
        <v>9.33</v>
      </c>
      <c r="AE32" s="60">
        <v>80</v>
      </c>
      <c r="AF32" s="186"/>
      <c r="AG32" s="88">
        <f t="shared" si="8"/>
        <v>30</v>
      </c>
      <c r="AH32" s="59">
        <v>10</v>
      </c>
      <c r="AI32" s="60">
        <v>20</v>
      </c>
      <c r="AJ32" s="186"/>
      <c r="AK32" s="88">
        <f t="shared" si="9"/>
        <v>30</v>
      </c>
      <c r="AL32" s="59">
        <v>78.349999999999994</v>
      </c>
      <c r="AM32" s="60">
        <v>852</v>
      </c>
      <c r="AN32" s="186"/>
      <c r="AO32" s="88">
        <f t="shared" si="10"/>
        <v>30</v>
      </c>
      <c r="AP32" s="59">
        <v>17.68</v>
      </c>
      <c r="AQ32" s="60">
        <v>90</v>
      </c>
      <c r="AR32" s="186"/>
      <c r="AS32" s="88">
        <f t="shared" si="11"/>
        <v>30</v>
      </c>
      <c r="AT32" s="59">
        <v>19.829999999999998</v>
      </c>
      <c r="AU32" s="60">
        <v>100</v>
      </c>
      <c r="AV32" s="186"/>
      <c r="AW32" s="73"/>
    </row>
    <row r="33" spans="1:49" s="54" customFormat="1" ht="11.25" x14ac:dyDescent="0.2">
      <c r="A33" s="87">
        <f t="shared" si="0"/>
        <v>31</v>
      </c>
      <c r="B33" s="68">
        <v>50.32</v>
      </c>
      <c r="C33" s="69">
        <v>50</v>
      </c>
      <c r="D33" s="187"/>
      <c r="E33" s="89"/>
      <c r="F33" s="68"/>
      <c r="G33" s="69"/>
      <c r="H33" s="187"/>
      <c r="I33" s="89">
        <f t="shared" si="2"/>
        <v>31</v>
      </c>
      <c r="J33" s="68">
        <v>11.17</v>
      </c>
      <c r="K33" s="69">
        <v>77</v>
      </c>
      <c r="L33" s="187"/>
      <c r="M33" s="89"/>
      <c r="N33" s="68"/>
      <c r="O33" s="69"/>
      <c r="P33" s="187"/>
      <c r="Q33" s="89">
        <f t="shared" si="4"/>
        <v>31</v>
      </c>
      <c r="R33" s="68">
        <v>14.219999999999999</v>
      </c>
      <c r="S33" s="69">
        <v>90</v>
      </c>
      <c r="T33" s="187"/>
      <c r="U33" s="89"/>
      <c r="V33" s="68"/>
      <c r="W33" s="69"/>
      <c r="X33" s="187"/>
      <c r="Y33" s="89">
        <f t="shared" si="6"/>
        <v>31</v>
      </c>
      <c r="Z33" s="68">
        <v>30.945000000000004</v>
      </c>
      <c r="AA33" s="69">
        <v>173</v>
      </c>
      <c r="AB33" s="187"/>
      <c r="AC33" s="89">
        <f t="shared" si="7"/>
        <v>31</v>
      </c>
      <c r="AD33" s="68">
        <v>14.8</v>
      </c>
      <c r="AE33" s="69">
        <v>330</v>
      </c>
      <c r="AF33" s="187"/>
      <c r="AG33" s="89"/>
      <c r="AH33" s="68"/>
      <c r="AI33" s="69"/>
      <c r="AJ33" s="187"/>
      <c r="AK33" s="89">
        <f t="shared" si="9"/>
        <v>31</v>
      </c>
      <c r="AL33" s="68">
        <v>11.04</v>
      </c>
      <c r="AM33" s="69">
        <v>50</v>
      </c>
      <c r="AN33" s="187"/>
      <c r="AO33" s="89"/>
      <c r="AP33" s="68"/>
      <c r="AQ33" s="69"/>
      <c r="AR33" s="187"/>
      <c r="AS33" s="89">
        <f t="shared" si="11"/>
        <v>31</v>
      </c>
      <c r="AT33" s="68">
        <v>22.970000000000002</v>
      </c>
      <c r="AU33" s="69">
        <v>360</v>
      </c>
      <c r="AV33" s="187"/>
      <c r="AW33" s="73"/>
    </row>
    <row r="34" spans="1:49" s="54" customFormat="1" ht="11.25" x14ac:dyDescent="0.2">
      <c r="A34" s="50" t="s">
        <v>95</v>
      </c>
      <c r="B34" s="52">
        <f>SUM(B3:B33)</f>
        <v>370.08</v>
      </c>
      <c r="C34" s="53">
        <f>SUM(C3:C33)</f>
        <v>1161</v>
      </c>
      <c r="D34" s="92">
        <f>(SUM(D3:D33)/D39)*C39</f>
        <v>67.600000000000009</v>
      </c>
      <c r="E34" s="71"/>
      <c r="F34" s="52">
        <f>SUM(F3:F33)</f>
        <v>569.68000000000006</v>
      </c>
      <c r="G34" s="53">
        <f>SUM(G3:G33)</f>
        <v>3633</v>
      </c>
      <c r="H34" s="92">
        <f>(SUM(H3:H33)/D39)*C39</f>
        <v>18</v>
      </c>
      <c r="I34" s="71"/>
      <c r="J34" s="52">
        <f>SUM(J3:J33)</f>
        <v>569.41999999999985</v>
      </c>
      <c r="K34" s="53">
        <f>SUM(K3:K33)</f>
        <v>2573</v>
      </c>
      <c r="L34" s="92">
        <f>(SUM(L3:L33)/D39)*C39</f>
        <v>6</v>
      </c>
      <c r="M34" s="90"/>
      <c r="N34" s="52">
        <f>SUM(N3:N33)</f>
        <v>601.92999999999984</v>
      </c>
      <c r="O34" s="53">
        <f>SUM(O3:O33)</f>
        <v>4927</v>
      </c>
      <c r="P34" s="92">
        <f>(SUM(P3:P33)/D39)*C39</f>
        <v>46.800000000000004</v>
      </c>
      <c r="Q34" s="71"/>
      <c r="R34" s="52">
        <f>SUM(R3:R33)</f>
        <v>698.62</v>
      </c>
      <c r="S34" s="53">
        <f>SUM(S3:S33)</f>
        <v>7926</v>
      </c>
      <c r="T34" s="92">
        <f>(SUM(T3:T33)/D39)*C39</f>
        <v>38.799999999999997</v>
      </c>
      <c r="U34" s="71"/>
      <c r="V34" s="52">
        <f>SUM(V3:V33)</f>
        <v>691.04000000000008</v>
      </c>
      <c r="W34" s="53">
        <f>SUM(W3:W33)</f>
        <v>3267</v>
      </c>
      <c r="X34" s="92">
        <f>(SUM(X3:X33)/D39)*C39</f>
        <v>62.8</v>
      </c>
      <c r="Y34" s="71"/>
      <c r="Z34" s="52">
        <f>SUM(Z3:Z33)</f>
        <v>541.47499999999991</v>
      </c>
      <c r="AA34" s="53">
        <f>SUM(AA3:AA33)</f>
        <v>5683</v>
      </c>
      <c r="AB34" s="92">
        <f>(SUM(AB3:AB33)/D39)*C39</f>
        <v>32</v>
      </c>
      <c r="AC34" s="71"/>
      <c r="AD34" s="52">
        <f>SUM(AD3:AD33)</f>
        <v>913.65999999999974</v>
      </c>
      <c r="AE34" s="53">
        <f>SUM(AE3:AE33)</f>
        <v>11863</v>
      </c>
      <c r="AF34" s="92">
        <f>(SUM(AF3:AF33)/D39)*C39</f>
        <v>30</v>
      </c>
      <c r="AG34" s="71"/>
      <c r="AH34" s="59">
        <f>SUM(AH3:AH33)</f>
        <v>715.53000000000009</v>
      </c>
      <c r="AI34" s="53">
        <f>SUM(AI3:AI33)</f>
        <v>5961</v>
      </c>
      <c r="AJ34" s="92">
        <f>(SUM(AJ3:AJ33)/D39)*C39</f>
        <v>38.799999999999997</v>
      </c>
      <c r="AK34" s="71"/>
      <c r="AL34" s="52">
        <f>SUM(AL3:AL33)</f>
        <v>706.72</v>
      </c>
      <c r="AM34" s="53">
        <f>SUM(AM3:AM33)</f>
        <v>4631</v>
      </c>
      <c r="AN34" s="92">
        <f>(SUM(AN3:AN33)/D39)*C39</f>
        <v>32.4</v>
      </c>
      <c r="AO34" s="71"/>
      <c r="AP34" s="52">
        <f>SUM(AP3:AP33)</f>
        <v>662.5899999999998</v>
      </c>
      <c r="AQ34" s="53">
        <f>SUM(AQ3:AQ33)</f>
        <v>2702</v>
      </c>
      <c r="AR34" s="92">
        <f>(SUM(AR3:AR33)/D39)*C39</f>
        <v>26.000000000000004</v>
      </c>
      <c r="AS34" s="71"/>
      <c r="AT34" s="52">
        <f>SUM(AT3:AT33)</f>
        <v>554.59000000000015</v>
      </c>
      <c r="AU34" s="53">
        <f>SUM(AU3:AU33)</f>
        <v>4073</v>
      </c>
      <c r="AV34" s="92">
        <f>(SUM(AV3:AV33)/D39)*C39</f>
        <v>53.6</v>
      </c>
      <c r="AW34" s="73"/>
    </row>
    <row r="35" spans="1:49" s="57" customFormat="1" ht="11.25" x14ac:dyDescent="0.2">
      <c r="A35" s="51" t="s">
        <v>96</v>
      </c>
      <c r="B35" s="55">
        <f>B34</f>
        <v>370.08</v>
      </c>
      <c r="C35" s="56">
        <f>C34</f>
        <v>1161</v>
      </c>
      <c r="D35" s="93">
        <f>D34</f>
        <v>67.600000000000009</v>
      </c>
      <c r="E35" s="72"/>
      <c r="F35" s="55">
        <f>F34+B35</f>
        <v>939.76</v>
      </c>
      <c r="G35" s="56">
        <f>G34+C35</f>
        <v>4794</v>
      </c>
      <c r="H35" s="93">
        <f>H34+D35</f>
        <v>85.600000000000009</v>
      </c>
      <c r="I35" s="72"/>
      <c r="J35" s="55">
        <f>J34+F35</f>
        <v>1509.1799999999998</v>
      </c>
      <c r="K35" s="56">
        <f>K34+G35</f>
        <v>7367</v>
      </c>
      <c r="L35" s="93">
        <f>L34+H35</f>
        <v>91.600000000000009</v>
      </c>
      <c r="M35" s="72"/>
      <c r="N35" s="55">
        <f>N34+J35</f>
        <v>2111.1099999999997</v>
      </c>
      <c r="O35" s="56">
        <f>O34+K35</f>
        <v>12294</v>
      </c>
      <c r="P35" s="93">
        <f>P34+L35</f>
        <v>138.4</v>
      </c>
      <c r="Q35" s="72"/>
      <c r="R35" s="55">
        <f>R34+N35</f>
        <v>2809.7299999999996</v>
      </c>
      <c r="S35" s="56">
        <f>S34+O35</f>
        <v>20220</v>
      </c>
      <c r="T35" s="93">
        <f>T34+P35</f>
        <v>177.2</v>
      </c>
      <c r="U35" s="72"/>
      <c r="V35" s="55">
        <f>V34+R35</f>
        <v>3500.7699999999995</v>
      </c>
      <c r="W35" s="56">
        <f>W34+S35</f>
        <v>23487</v>
      </c>
      <c r="X35" s="93">
        <f>X34+T35</f>
        <v>240</v>
      </c>
      <c r="Y35" s="72"/>
      <c r="Z35" s="55">
        <f>Z34+V35</f>
        <v>4042.2449999999994</v>
      </c>
      <c r="AA35" s="56">
        <f>AA34+W35</f>
        <v>29170</v>
      </c>
      <c r="AB35" s="93">
        <f>AB34+X35</f>
        <v>272</v>
      </c>
      <c r="AC35" s="72"/>
      <c r="AD35" s="55">
        <f>AD34+Z35</f>
        <v>4955.9049999999988</v>
      </c>
      <c r="AE35" s="56">
        <f>AE34+AA35</f>
        <v>41033</v>
      </c>
      <c r="AF35" s="93">
        <f>AF34+AB35</f>
        <v>302</v>
      </c>
      <c r="AG35" s="72"/>
      <c r="AH35" s="100">
        <f>AH34+AD35</f>
        <v>5671.4349999999986</v>
      </c>
      <c r="AI35" s="56">
        <f>AI34+AE35</f>
        <v>46994</v>
      </c>
      <c r="AJ35" s="93">
        <f>AJ34+AF35</f>
        <v>340.8</v>
      </c>
      <c r="AK35" s="72"/>
      <c r="AL35" s="55">
        <f>AL34+AH35</f>
        <v>6378.1549999999988</v>
      </c>
      <c r="AM35" s="56">
        <f>AM34+AI35</f>
        <v>51625</v>
      </c>
      <c r="AN35" s="93">
        <f>AN34+AJ35</f>
        <v>373.2</v>
      </c>
      <c r="AO35" s="72"/>
      <c r="AP35" s="55">
        <f>AP34+AL35</f>
        <v>7040.744999999999</v>
      </c>
      <c r="AQ35" s="56">
        <f>AQ34+AM35</f>
        <v>54327</v>
      </c>
      <c r="AR35" s="93">
        <f>AR34+AN35</f>
        <v>399.2</v>
      </c>
      <c r="AS35" s="72"/>
      <c r="AT35" s="55">
        <f>AT34+AP35</f>
        <v>7595.3349999999991</v>
      </c>
      <c r="AU35" s="56">
        <f>AU34+AQ35</f>
        <v>58400</v>
      </c>
      <c r="AV35" s="93">
        <f>AV34+AR35</f>
        <v>452.8</v>
      </c>
      <c r="AW35" s="106"/>
    </row>
    <row r="36" spans="1:49" s="54" customFormat="1" ht="11.25" x14ac:dyDescent="0.2">
      <c r="A36" s="54" t="s">
        <v>152</v>
      </c>
      <c r="B36" s="52">
        <f>MAX(B3:B33)</f>
        <v>50.32</v>
      </c>
      <c r="C36" s="60">
        <f>MAX(C3:C33)</f>
        <v>355</v>
      </c>
      <c r="D36" s="188">
        <f>MAX(D3:D33)</f>
        <v>4.1666666666666664E-2</v>
      </c>
      <c r="E36" s="73"/>
      <c r="F36" s="52">
        <f>MAX(F3:F33)</f>
        <v>91.8</v>
      </c>
      <c r="G36" s="60">
        <f>MAX(G3:G33)</f>
        <v>794</v>
      </c>
      <c r="H36" s="188">
        <f>MAX(H3:H33)</f>
        <v>1.7361111111111112E-2</v>
      </c>
      <c r="I36" s="73"/>
      <c r="J36" s="52">
        <f>MAX(J3:J33)</f>
        <v>101.2</v>
      </c>
      <c r="K36" s="60">
        <f>MAX(K3:K33)</f>
        <v>710</v>
      </c>
      <c r="L36" s="188">
        <f>MAX(L3:L33)</f>
        <v>1.0416666666666666E-2</v>
      </c>
      <c r="M36" s="73"/>
      <c r="N36" s="52">
        <f>MAX(N3:N33)</f>
        <v>64.42</v>
      </c>
      <c r="O36" s="60">
        <f>MAX(O3:O33)</f>
        <v>903</v>
      </c>
      <c r="P36" s="188">
        <f>MAX(P3:P33)</f>
        <v>4.1666666666666664E-2</v>
      </c>
      <c r="Q36" s="73"/>
      <c r="R36" s="52">
        <f>MAX(R3:R33)</f>
        <v>91.59</v>
      </c>
      <c r="S36" s="60">
        <f>MAX(S3:S33)</f>
        <v>2025</v>
      </c>
      <c r="T36" s="188">
        <f>MAX(T3:T33)</f>
        <v>3.2638888888888891E-2</v>
      </c>
      <c r="U36" s="73"/>
      <c r="V36" s="52">
        <f>MAX(V3:V33)</f>
        <v>75.95</v>
      </c>
      <c r="W36" s="60">
        <f>MAX(W3:W33)</f>
        <v>773</v>
      </c>
      <c r="X36" s="188">
        <f>MAX(X3:X33)</f>
        <v>2.2222222222222223E-2</v>
      </c>
      <c r="Y36" s="73"/>
      <c r="Z36" s="52">
        <f>MAX(Z3:Z33)</f>
        <v>141.72</v>
      </c>
      <c r="AA36" s="60">
        <f>MAX(AA3:AA33)</f>
        <v>1479</v>
      </c>
      <c r="AB36" s="188">
        <f>MAX(AB3:AB33)</f>
        <v>3.4722222222222224E-2</v>
      </c>
      <c r="AC36" s="73"/>
      <c r="AD36" s="52">
        <f>MAX(AD3:AD33)</f>
        <v>111.31</v>
      </c>
      <c r="AE36" s="60">
        <f>MAX(AE3:AE33)</f>
        <v>1460</v>
      </c>
      <c r="AF36" s="188">
        <f>MAX(AF3:AF33)</f>
        <v>1.0416666666666666E-2</v>
      </c>
      <c r="AG36" s="73"/>
      <c r="AH36" s="52">
        <f>MAX(AH3:AH33)</f>
        <v>64.08</v>
      </c>
      <c r="AI36" s="60">
        <f>MAX(AI3:AI33)</f>
        <v>920</v>
      </c>
      <c r="AJ36" s="188">
        <f>MAX(AJ3:AJ33)</f>
        <v>4.6527777777777779E-2</v>
      </c>
      <c r="AK36" s="73"/>
      <c r="AL36" s="52">
        <f>MAX(AL3:AL33)</f>
        <v>78.349999999999994</v>
      </c>
      <c r="AM36" s="60">
        <f>MAX(AM3:AM33)</f>
        <v>852</v>
      </c>
      <c r="AN36" s="188">
        <f>MAX(AN3:AN33)</f>
        <v>3.5416666666666666E-2</v>
      </c>
      <c r="AO36" s="73"/>
      <c r="AP36" s="52">
        <f>MAX(AP3:AP33)</f>
        <v>107</v>
      </c>
      <c r="AQ36" s="60">
        <f>MAX(AQ3:AQ33)</f>
        <v>410</v>
      </c>
      <c r="AR36" s="188">
        <f>MAX(AR3:AR33)</f>
        <v>2.4305555555555556E-2</v>
      </c>
      <c r="AS36" s="73"/>
      <c r="AT36" s="52">
        <f>MAX(AT3:AT33)</f>
        <v>42.480000000000004</v>
      </c>
      <c r="AU36" s="60">
        <f>MAX(AU3:AU33)</f>
        <v>912</v>
      </c>
      <c r="AV36" s="188">
        <f>MAX(AV3:AV33)</f>
        <v>2.0833333333333332E-2</v>
      </c>
      <c r="AW36" s="73"/>
    </row>
    <row r="37" spans="1:49" s="54" customFormat="1" ht="11.25" x14ac:dyDescent="0.2">
      <c r="A37" s="54" t="s">
        <v>348</v>
      </c>
      <c r="B37" s="59">
        <f>IFERROR(AVERAGE(B3:B33),0)</f>
        <v>17.622857142857143</v>
      </c>
      <c r="C37" s="60">
        <f>IFERROR(AVERAGE(C3:C33),0)</f>
        <v>55.285714285714285</v>
      </c>
      <c r="D37" s="188">
        <f>IFERROR(AVERAGE(D3:D33),0)</f>
        <v>2.9340277777777778E-2</v>
      </c>
      <c r="E37" s="73"/>
      <c r="F37" s="59">
        <f>IFERROR(AVERAGE(F3:F33),0)</f>
        <v>21.910769230769233</v>
      </c>
      <c r="G37" s="60">
        <f>IFERROR(AVERAGE(G3:G33),0)</f>
        <v>139.73076923076923</v>
      </c>
      <c r="H37" s="188">
        <f>IFERROR(AVERAGE(H3:H33),0)</f>
        <v>1.5625E-2</v>
      </c>
      <c r="I37" s="73"/>
      <c r="J37" s="59">
        <f>IFERROR(AVERAGE(J3:J33),0)</f>
        <v>22.776799999999994</v>
      </c>
      <c r="K37" s="60">
        <f>IFERROR(AVERAGE(K3:K33),0)</f>
        <v>102.92</v>
      </c>
      <c r="L37" s="188">
        <f>IFERROR(AVERAGE(L3:L33),0)</f>
        <v>1.0416666666666666E-2</v>
      </c>
      <c r="M37" s="73"/>
      <c r="N37" s="59">
        <f>IFERROR(AVERAGE(N3:N33),0)</f>
        <v>22.293703703703699</v>
      </c>
      <c r="O37" s="60">
        <f>IFERROR(AVERAGE(O3:O33),0)</f>
        <v>182.4814814814815</v>
      </c>
      <c r="P37" s="188">
        <f>IFERROR(AVERAGE(P3:P33),0)</f>
        <v>2.0312500000000001E-2</v>
      </c>
      <c r="Q37" s="73"/>
      <c r="R37" s="59">
        <f>IFERROR(AVERAGE(R3:R33),0)</f>
        <v>24.950714285714287</v>
      </c>
      <c r="S37" s="60">
        <f>IFERROR(AVERAGE(S3:S33),0)</f>
        <v>283.07142857142856</v>
      </c>
      <c r="T37" s="188">
        <f>IFERROR(AVERAGE(T3:T33),0)</f>
        <v>1.6840277777777777E-2</v>
      </c>
      <c r="U37" s="73"/>
      <c r="V37" s="59">
        <f>IFERROR(AVERAGE(V3:V33),0)</f>
        <v>23.828965517241382</v>
      </c>
      <c r="W37" s="60">
        <f>IFERROR(AVERAGE(W3:W33),0)</f>
        <v>112.65517241379311</v>
      </c>
      <c r="X37" s="188">
        <f>IFERROR(AVERAGE(X3:X33),0)</f>
        <v>1.3628472222222222E-2</v>
      </c>
      <c r="Y37" s="73"/>
      <c r="Z37" s="59">
        <f>IFERROR(AVERAGE(Z3:Z33),0)</f>
        <v>23.542391304347824</v>
      </c>
      <c r="AA37" s="60">
        <f>IFERROR(AVERAGE(AA3:AA33),0)</f>
        <v>247.08695652173913</v>
      </c>
      <c r="AB37" s="188">
        <f>IFERROR(AVERAGE(AB3:AB33),0)</f>
        <v>2.7777777777777776E-2</v>
      </c>
      <c r="AC37" s="73"/>
      <c r="AD37" s="59">
        <f>IFERROR(AVERAGE(AD3:AD33),0)</f>
        <v>29.472903225806444</v>
      </c>
      <c r="AE37" s="60">
        <f>IFERROR(AVERAGE(AE3:AE33),0)</f>
        <v>382.67741935483872</v>
      </c>
      <c r="AF37" s="188">
        <f>IFERROR(AVERAGE(AF3:AF33),0)</f>
        <v>1.0416666666666666E-2</v>
      </c>
      <c r="AG37" s="73"/>
      <c r="AH37" s="59">
        <f>IFERROR(AVERAGE(AH3:AH33),0)</f>
        <v>25.554642857142859</v>
      </c>
      <c r="AI37" s="60">
        <f>IFERROR(AVERAGE(AI3:AI33),0)</f>
        <v>212.89285714285714</v>
      </c>
      <c r="AJ37" s="188">
        <f>IFERROR(AVERAGE(AJ3:AJ33),0)</f>
        <v>2.2453703703703701E-2</v>
      </c>
      <c r="AK37" s="73"/>
      <c r="AL37" s="59">
        <f>IFERROR(AVERAGE(AL3:AL33),0)</f>
        <v>23.557333333333336</v>
      </c>
      <c r="AM37" s="60">
        <f>IFERROR(AVERAGE(AM3:AM33),0)</f>
        <v>154.36666666666667</v>
      </c>
      <c r="AN37" s="188">
        <f>IFERROR(AVERAGE(AN3:AN33),0)</f>
        <v>1.8749999999999999E-2</v>
      </c>
      <c r="AO37" s="73"/>
      <c r="AP37" s="59">
        <f>IFERROR(AVERAGE(AP3:AP33),0)</f>
        <v>22.847931034482752</v>
      </c>
      <c r="AQ37" s="60">
        <f>IFERROR(AVERAGE(AQ3:AQ33),0)</f>
        <v>93.172413793103445</v>
      </c>
      <c r="AR37" s="188">
        <f>IFERROR(AVERAGE(AR3:AR33),0)</f>
        <v>1.5046296296296295E-2</v>
      </c>
      <c r="AS37" s="73"/>
      <c r="AT37" s="59">
        <f>IFERROR(AVERAGE(AT3:AT33),0)</f>
        <v>18.486333333333338</v>
      </c>
      <c r="AU37" s="60">
        <f>IFERROR(AVERAGE(AU3:AU33),0)</f>
        <v>135.76666666666668</v>
      </c>
      <c r="AV37" s="188">
        <f>IFERROR(AVERAGE(AV3:AV33),0)</f>
        <v>1.3293650793650793E-2</v>
      </c>
      <c r="AW37" s="73"/>
    </row>
    <row r="38" spans="1:49" s="54" customFormat="1" ht="11.25" x14ac:dyDescent="0.2">
      <c r="A38" s="54" t="s">
        <v>241</v>
      </c>
      <c r="B38" s="59">
        <f>B34-'15'!B34</f>
        <v>-12.210000000000036</v>
      </c>
      <c r="C38" s="91">
        <f>C34-'15'!C34</f>
        <v>-3462</v>
      </c>
      <c r="D38" s="119">
        <f>IF(B34+D34=0,0,D34/(B34+D34))</f>
        <v>0.15445074026686165</v>
      </c>
      <c r="E38" s="73"/>
      <c r="F38" s="59">
        <f>F34-'15'!F34</f>
        <v>208.71000000000004</v>
      </c>
      <c r="G38" s="91">
        <f>G34-'15'!G34</f>
        <v>856</v>
      </c>
      <c r="H38" s="119">
        <f>IF(F34+H34=0,0,H34/(F34+H34))</f>
        <v>3.0628913694527631E-2</v>
      </c>
      <c r="I38" s="73"/>
      <c r="J38" s="59">
        <f>J34-'15'!J34</f>
        <v>60.309999999999945</v>
      </c>
      <c r="K38" s="91">
        <f>K34-'15'!K34</f>
        <v>-1758</v>
      </c>
      <c r="L38" s="119">
        <f>IF(J34+L34=0,0,L34/(J34+L34))</f>
        <v>1.042716624378715E-2</v>
      </c>
      <c r="M38" s="73"/>
      <c r="N38" s="59">
        <f>N34-'15'!N34</f>
        <v>-109.58000000000015</v>
      </c>
      <c r="O38" s="91">
        <f>O34-'15'!O34</f>
        <v>-1559</v>
      </c>
      <c r="P38" s="119">
        <f>IF(N34+P34=0,0,P34/(N34+P34))</f>
        <v>7.2140952322229612E-2</v>
      </c>
      <c r="Q38" s="73"/>
      <c r="R38" s="59">
        <f>R34-'15'!R34</f>
        <v>-343.49000000000012</v>
      </c>
      <c r="S38" s="91">
        <f>S34-'15'!S34</f>
        <v>-732</v>
      </c>
      <c r="T38" s="119">
        <f>IF(R34+T34=0,0,T34/(R34+T34))</f>
        <v>5.2615876976485586E-2</v>
      </c>
      <c r="U38" s="73"/>
      <c r="V38" s="59">
        <f>V34-'15'!V34</f>
        <v>-283.83999999999969</v>
      </c>
      <c r="W38" s="91">
        <f>W34-'15'!W34</f>
        <v>-5701</v>
      </c>
      <c r="X38" s="119">
        <f>IF(V34+X34=0,0,X34/(V34+X34))</f>
        <v>8.3306802504510238E-2</v>
      </c>
      <c r="Y38" s="73"/>
      <c r="Z38" s="59">
        <f>Z34-'15'!Z34</f>
        <v>-158.63499999999999</v>
      </c>
      <c r="AA38" s="91">
        <f>AA34-'15'!AA34</f>
        <v>766</v>
      </c>
      <c r="AB38" s="119">
        <f>IF(Z34+AB34=0,0,AB34/(Z34+AB34))</f>
        <v>5.5800165656741806E-2</v>
      </c>
      <c r="AC38" s="73"/>
      <c r="AD38" s="59">
        <f>AD34-'15'!AD34</f>
        <v>174.66999999999962</v>
      </c>
      <c r="AE38" s="91">
        <f>AE34-'15'!AE34</f>
        <v>6016</v>
      </c>
      <c r="AF38" s="119">
        <f>IF(AD34+AF34=0,0,AF34/(AD34+AF34))</f>
        <v>3.1791111205307004E-2</v>
      </c>
      <c r="AG38" s="73"/>
      <c r="AH38" s="59">
        <f>AH34-'15'!AH34</f>
        <v>163.50000000000011</v>
      </c>
      <c r="AI38" s="91">
        <f>AI34-'15'!AI34</f>
        <v>1676</v>
      </c>
      <c r="AJ38" s="119">
        <f>IF(AH34+AJ34=0,0,AJ34/(AH34+AJ34))</f>
        <v>5.1436374000768885E-2</v>
      </c>
      <c r="AK38" s="73"/>
      <c r="AL38" s="59">
        <f>AL34-'15'!AL34</f>
        <v>52.189999999999941</v>
      </c>
      <c r="AM38" s="91">
        <f>AM34-'15'!AM34</f>
        <v>639</v>
      </c>
      <c r="AN38" s="119">
        <f>IF(AL34+AN34=0,0,AN34/(AL34+AN34))</f>
        <v>4.3835912977594975E-2</v>
      </c>
      <c r="AO38" s="73"/>
      <c r="AP38" s="59">
        <f>AP34-'15'!AP34</f>
        <v>69.169999999999732</v>
      </c>
      <c r="AQ38" s="91">
        <f>AQ34-'15'!AQ34</f>
        <v>-2502</v>
      </c>
      <c r="AR38" s="119">
        <f>IF(AP34+AR34=0,0,AR34/(AP34+AR34))</f>
        <v>3.7758317721721217E-2</v>
      </c>
      <c r="AS38" s="73"/>
      <c r="AT38" s="59">
        <f>AT34-'15'!AT34</f>
        <v>-28.449999999999818</v>
      </c>
      <c r="AU38" s="91">
        <f>AU34-'15'!AU34</f>
        <v>1411</v>
      </c>
      <c r="AV38" s="119">
        <f>IF(AT34+AV34=0,0,AV34/(AT34+AV34))</f>
        <v>8.8130354001216701E-2</v>
      </c>
      <c r="AW38" s="73"/>
    </row>
    <row r="39" spans="1:49" s="1" customFormat="1" x14ac:dyDescent="0.2">
      <c r="A39" s="51" t="s">
        <v>158</v>
      </c>
      <c r="B39" s="177" t="s">
        <v>242</v>
      </c>
      <c r="C39" s="178">
        <v>24</v>
      </c>
      <c r="D39" s="189">
        <v>4.1666666666666664E-2</v>
      </c>
      <c r="E39" s="205"/>
      <c r="G39" s="324"/>
      <c r="H39" s="206"/>
      <c r="I39" s="205"/>
      <c r="J39" s="55">
        <f>SUM(B34,F34,J34)</f>
        <v>1509.1799999999998</v>
      </c>
      <c r="K39" s="56">
        <f t="shared" ref="K39:L39" si="12">SUM(C34,G34,K34)</f>
        <v>7367</v>
      </c>
      <c r="L39" s="207">
        <f t="shared" si="12"/>
        <v>91.600000000000009</v>
      </c>
      <c r="M39" s="205"/>
      <c r="P39" s="206"/>
      <c r="Q39" s="205"/>
      <c r="T39" s="206"/>
      <c r="U39" s="205"/>
      <c r="V39" s="55">
        <f>SUM(N34,R34,V34)</f>
        <v>1991.5899999999997</v>
      </c>
      <c r="W39" s="56">
        <f>SUM(O34,S34,W34)</f>
        <v>16120</v>
      </c>
      <c r="X39" s="207">
        <f>SUM(P34,T34,X34)</f>
        <v>148.39999999999998</v>
      </c>
      <c r="Y39" s="205"/>
      <c r="AB39" s="206"/>
      <c r="AC39" s="205"/>
      <c r="AF39" s="206"/>
      <c r="AG39" s="205"/>
      <c r="AH39" s="100">
        <f>SUM(Z34,AD34,AH34)</f>
        <v>2170.665</v>
      </c>
      <c r="AI39" s="56">
        <f>SUM(AA34,AE34,AI34)</f>
        <v>23507</v>
      </c>
      <c r="AJ39" s="207">
        <f>SUM(AB34,AF34,AJ34)</f>
        <v>100.8</v>
      </c>
      <c r="AK39" s="205"/>
      <c r="AN39" s="206"/>
      <c r="AO39" s="205"/>
      <c r="AR39" s="206"/>
      <c r="AS39" s="205"/>
      <c r="AT39" s="55">
        <f>SUM(AL34,AP34,AT34)</f>
        <v>1923.9</v>
      </c>
      <c r="AU39" s="56">
        <f>SUM(AM34,AQ34,AU34)</f>
        <v>11406</v>
      </c>
      <c r="AV39" s="207">
        <f>SUM(AN34,AR34,AV34)</f>
        <v>112</v>
      </c>
      <c r="AW39" s="205"/>
    </row>
    <row r="40" spans="1:49" s="54" customFormat="1" ht="11.25" x14ac:dyDescent="0.2">
      <c r="A40" s="54" t="s">
        <v>347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20.770142124542122</v>
      </c>
      <c r="K40" s="60">
        <f>IFERROR(AVERAGE(C37,G37,K37),0)</f>
        <v>99.312161172161169</v>
      </c>
      <c r="L40" s="188">
        <f>IFERROR(AVERAGE(D37,H37,L37),0)</f>
        <v>1.8460648148148146E-2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23.691127835553122</v>
      </c>
      <c r="W40" s="60">
        <f>IFERROR(AVERAGE(O37,S37,W37),0)</f>
        <v>192.73602748890107</v>
      </c>
      <c r="X40" s="188">
        <f>IFERROR(AVERAGE(P37,T37,X37),0)</f>
        <v>1.6927083333333332E-2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26.189979129099044</v>
      </c>
      <c r="AI40" s="60">
        <f>IFERROR(AVERAGE(AA37,AE37,AI37),0)</f>
        <v>280.88574433981165</v>
      </c>
      <c r="AJ40" s="188">
        <f>IFERROR(AVERAGE(AB37,AF37,AJ37),0)</f>
        <v>2.021604938271605E-2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21.630532567049809</v>
      </c>
      <c r="AU40" s="60">
        <f>IFERROR(AVERAGE(AM37,AQ37,AU37),0)</f>
        <v>127.76858237547894</v>
      </c>
      <c r="AV40" s="188">
        <f>IFERROR(AVERAGE(AN37,AR37,AV37),0)</f>
        <v>1.5696649029982364E-2</v>
      </c>
      <c r="AW40" s="73"/>
    </row>
    <row r="41" spans="1:49" s="118" customFormat="1" ht="11.25" x14ac:dyDescent="0.2">
      <c r="A41" s="115" t="s">
        <v>225</v>
      </c>
      <c r="B41" s="109">
        <f>RANK(B34,(B34,F34,J34,N34,R34,V34,Z34,AD34,AH34,AL34,AP34,AT34))</f>
        <v>12</v>
      </c>
      <c r="C41" s="110">
        <f>RANK(C34,(C34,G34,K34,O34,S34,W34,AA34,AE34,AI34,AM34,AQ34,AU34))</f>
        <v>12</v>
      </c>
      <c r="D41" s="116">
        <f>RANK(D34,(D34,H34,L34,P34,T34,X34,AB34,AF34,AJ34,AN34,AR34,AV34))</f>
        <v>1</v>
      </c>
      <c r="E41" s="117"/>
      <c r="F41" s="109">
        <f>RANK(F34,(B34,F34,J34,N34,R34,V34,Z34,AD34,AH34,AL34,AP34,AT34))</f>
        <v>8</v>
      </c>
      <c r="G41" s="110">
        <f>RANK(G34,(C34,G34,K34,O34,S34,W34,AA34,AE34,AI34,AM34,AQ34,AU34))</f>
        <v>8</v>
      </c>
      <c r="H41" s="116">
        <f>RANK(H34,(D34,H34,L34,P34,T34,X34,AB34,AF34,AJ34,AN34,AR34,AV34))</f>
        <v>11</v>
      </c>
      <c r="I41" s="117"/>
      <c r="J41" s="109">
        <f>RANK(J34,(B34,F34,J34,N34,R34,V34,Z34,AD34,AH34,AL34,AP34,AT34))</f>
        <v>9</v>
      </c>
      <c r="K41" s="110">
        <f>RANK(K34,(C34,G34,K34,O34,S34,W34,AA34,AE34,AI34,AM34,AQ34,AU34))</f>
        <v>11</v>
      </c>
      <c r="L41" s="116">
        <f>RANK(L34,(D34,H34,L34,P34,T34,X34,AB34,AF34,AJ34,AN34,AR34,AV34))</f>
        <v>12</v>
      </c>
      <c r="M41" s="117"/>
      <c r="N41" s="109">
        <f>RANK(N34,(B34,F34,J34,N34,R34,V34,Z34,AD34,AH34,AL34,AP34,AT34))</f>
        <v>7</v>
      </c>
      <c r="O41" s="110">
        <f>RANK(O34,(C34,G34,K34,O34,S34,W34,AA34,AE34,AI34,AM34,AQ34,AU34))</f>
        <v>5</v>
      </c>
      <c r="P41" s="116">
        <f>RANK(P34,(D34,H34,L34,P34,T34,X34,AB34,AF34,AJ34,AN34,AR34,AV34))</f>
        <v>4</v>
      </c>
      <c r="Q41" s="117"/>
      <c r="R41" s="109">
        <f>RANK(R34,(B34,F34,J34,N34,R34,V34,Z34,AD34,AH34,AL34,AP34,AT34))</f>
        <v>4</v>
      </c>
      <c r="S41" s="110">
        <f>RANK(S34,(C34,G34,K34,O34,S34,W34,AA34,AE34,AI34,AM34,AQ34,AU34))</f>
        <v>2</v>
      </c>
      <c r="T41" s="116">
        <f>RANK(T34,(D34,H34,L34,P34,T34,X34,AB34,AF34,AJ34,AN34,AR34,AV34))</f>
        <v>5</v>
      </c>
      <c r="U41" s="117"/>
      <c r="V41" s="109">
        <f>RANK(V34,(B34,F34,J34,N34,R34,V34,Z34,AD34,AH34,AL34,AP34,AT34))</f>
        <v>5</v>
      </c>
      <c r="W41" s="110">
        <f>RANK(W34,(C34,G34,K34,O34,S34,W34,AA34,AE34,AI34,AM34,AQ34,AU34))</f>
        <v>9</v>
      </c>
      <c r="X41" s="116">
        <f>RANK(X34,(D34,H34,L34,P34,T34,X34,AB34,AF34,AJ34,AN34,AR34,AV34))</f>
        <v>2</v>
      </c>
      <c r="Y41" s="117"/>
      <c r="Z41" s="109">
        <f>RANK(Z34,(B34,F34,J34,N34,R34,V34,Z34,AD34,AH34,AL34,AP34,AT34))</f>
        <v>11</v>
      </c>
      <c r="AA41" s="110">
        <f>RANK(AA34,(C34,G34,K34,O34,S34,W34,AA34,AE34,AI34,AM34,AQ34,AU34))</f>
        <v>4</v>
      </c>
      <c r="AB41" s="116">
        <f>RANK(AB34,(D34,H34,L34,P34,T34,X34,AB34,AF34,AJ34,AN34,AR34,AV34))</f>
        <v>8</v>
      </c>
      <c r="AC41" s="117"/>
      <c r="AD41" s="109">
        <f>RANK(AD34,(B34,F34,J34,N34,R34,V34,Z34,AD34,AH34,AL34,AP34,AT34))</f>
        <v>1</v>
      </c>
      <c r="AE41" s="110">
        <f>RANK(AE34,(C34,G34,K34,O34,S34,W34,AA34,AE34,AI34,AM34,AQ34,AU34))</f>
        <v>1</v>
      </c>
      <c r="AF41" s="116">
        <f>RANK(AF34,(D34,H34,L34,P34,T34,X34,AB34,AF34,AJ34,AN34,AR34,AV34))</f>
        <v>9</v>
      </c>
      <c r="AG41" s="117"/>
      <c r="AH41" s="109">
        <f>RANK(AH34,(B34,F34,J34,N34,R34,V34,Z34,AD34,AH34,AL34,AP34,AT34))</f>
        <v>2</v>
      </c>
      <c r="AI41" s="110">
        <f>RANK(AI34,(C34,G34,K34,O34,S34,W34,AA34,AE34,AI34,AM34,AQ34,AU34))</f>
        <v>3</v>
      </c>
      <c r="AJ41" s="116">
        <f>RANK(AJ34,(D34,H34,L34,P34,T34,X34,AB34,AF34,AJ34,AN34,AR34,AV34))</f>
        <v>5</v>
      </c>
      <c r="AK41" s="117"/>
      <c r="AL41" s="109">
        <f>RANK(AL34,(B34,F34,J34,N34,R34,V34,Z34,AD34,AH34,AL34,AP34,AT34))</f>
        <v>3</v>
      </c>
      <c r="AM41" s="110">
        <f>RANK(AM34,(C34,G34,K34,O34,S34,W34,AA34,AE34,AI34,AM34,AQ34,AU34))</f>
        <v>6</v>
      </c>
      <c r="AN41" s="116">
        <f>RANK(AN34,(D34,H34,L34,P34,T34,X34,AB34,AF34,AJ34,AN34,AR34,AV34))</f>
        <v>7</v>
      </c>
      <c r="AO41" s="117"/>
      <c r="AP41" s="109">
        <f>RANK(AP34,(B34,F34,J34,N34,R34,V34,Z34,AD34,AH34,AL34,AP34,AT34))</f>
        <v>6</v>
      </c>
      <c r="AQ41" s="110">
        <f>RANK(AQ34,(C34,G34,K34,O34,S34,W34,AA34,AE34,AI34,AM34,AQ34,AU34))</f>
        <v>10</v>
      </c>
      <c r="AR41" s="116">
        <f>RANK(AR34,(D34,H34,L34,P34,T34,X34,AB34,AF34,AJ34,AN34,AR34,AV34))</f>
        <v>10</v>
      </c>
      <c r="AS41" s="117"/>
      <c r="AT41" s="109">
        <f>RANK(AT34,(B34,F34,J34,N34,R34,V34,Z34,AD34,AH34,AL34,AP34,AT34))</f>
        <v>10</v>
      </c>
      <c r="AU41" s="110">
        <f>RANK(AU34,(C34,G34,K34,O34,S34,W34,AA34,AE34,AI34,AM34,AQ34,AU34))</f>
        <v>7</v>
      </c>
      <c r="AV41" s="116">
        <f>RANK(AV34,(D34,H34,L34,P34,T34,X34,AB34,AF34,AJ34,AN34,AR34,AV34))</f>
        <v>3</v>
      </c>
      <c r="AW41" s="122"/>
    </row>
    <row r="42" spans="1:49" s="54" customFormat="1" ht="11.25" x14ac:dyDescent="0.2">
      <c r="A42" s="57" t="s">
        <v>218</v>
      </c>
      <c r="B42" s="100">
        <f>T1</f>
        <v>23.070445414061023</v>
      </c>
      <c r="C42" s="101">
        <f>AB1</f>
        <v>175.17562884408821</v>
      </c>
      <c r="D42" s="102"/>
      <c r="E42" s="214" t="s">
        <v>404</v>
      </c>
      <c r="F42" s="215">
        <f>SUM(J23:J33,N3:N33,R3:R33,V3:V33,Z3:Z33,AD3:AD33,AH3:AH23)</f>
        <v>4153.8250000000007</v>
      </c>
      <c r="G42" s="216">
        <f>SUM(K23:K33,O3:O32,S3:S33,W3:W32,AA3:AA33,AE3:AE33,AI3:AI23)</f>
        <v>38776</v>
      </c>
      <c r="H42" s="217"/>
      <c r="I42" s="217"/>
      <c r="J42" s="218">
        <f>IFERROR(F42/(F42+F43),0)</f>
        <v>0.5468916117590602</v>
      </c>
      <c r="K42" s="218">
        <f>IFERROR(G42/(G42+G43),0)</f>
        <v>0.66397260273972603</v>
      </c>
      <c r="L42" s="217"/>
      <c r="M42" s="309" t="s">
        <v>606</v>
      </c>
      <c r="N42" s="307">
        <v>46</v>
      </c>
      <c r="Y42" s="173"/>
      <c r="AK42" s="255" t="s">
        <v>484</v>
      </c>
      <c r="AL42" s="52">
        <f>MAX(B34,F34,J34,N34,R34,V34,Z34,AD34,AH34,AL34,AP34,AT34)</f>
        <v>913.65999999999974</v>
      </c>
      <c r="AM42" s="256">
        <f>MAX(C34,G34,K34,O34,S34,W34,AA34,AE34,AI34,AM34,AQ34,AU34)</f>
        <v>11863</v>
      </c>
      <c r="AN42" s="54" t="s">
        <v>351</v>
      </c>
      <c r="AO42" s="253" t="s">
        <v>349</v>
      </c>
      <c r="AP42" s="59">
        <f>R1-'15'!R1</f>
        <v>9.1099999999999568</v>
      </c>
      <c r="AQ42" s="91">
        <f>AF1-'15'!AF1</f>
        <v>-1501</v>
      </c>
      <c r="AR42" s="54" t="s">
        <v>350</v>
      </c>
      <c r="AS42" s="252" t="s">
        <v>349</v>
      </c>
      <c r="AT42" s="59">
        <f>I1-'15'!I1</f>
        <v>11.719999999999999</v>
      </c>
      <c r="AU42" s="91">
        <f>AN1-'15'!AN1</f>
        <v>490</v>
      </c>
      <c r="AV42" s="54" t="s">
        <v>351</v>
      </c>
      <c r="AW42" s="73"/>
    </row>
    <row r="43" spans="1:49" s="54" customFormat="1" ht="11.25" x14ac:dyDescent="0.2">
      <c r="A43" s="57" t="s">
        <v>219</v>
      </c>
      <c r="B43" s="100">
        <f>E1/365</f>
        <v>20.809136986301368</v>
      </c>
      <c r="C43" s="101">
        <f>AU1/365</f>
        <v>160</v>
      </c>
      <c r="D43" s="102"/>
      <c r="E43" s="210" t="s">
        <v>405</v>
      </c>
      <c r="F43" s="211">
        <f>E1-F42</f>
        <v>3441.5099999999984</v>
      </c>
      <c r="G43" s="212">
        <f>AU1-G42</f>
        <v>19624</v>
      </c>
      <c r="H43" s="213"/>
      <c r="I43" s="213"/>
      <c r="J43" s="219">
        <f>IFERROR(F43/(F42+F43),0)</f>
        <v>0.45310838824093985</v>
      </c>
      <c r="K43" s="219">
        <f>IFERROR(G43/(G42+G43),0)</f>
        <v>0.33602739726027397</v>
      </c>
      <c r="L43" s="213"/>
      <c r="M43" s="71" t="s">
        <v>607</v>
      </c>
      <c r="N43" s="308">
        <v>8</v>
      </c>
      <c r="Y43" s="73"/>
      <c r="AK43" s="257" t="s">
        <v>487</v>
      </c>
      <c r="AL43" s="228">
        <f>IF($B$1&lt;&gt;0,$AV$35/$B1,0)</f>
        <v>5.6261481697312488E-2</v>
      </c>
      <c r="AO43" s="254" t="s">
        <v>349</v>
      </c>
      <c r="AP43" s="59">
        <f>AV35-'15'!AV35</f>
        <v>372</v>
      </c>
      <c r="AQ43" s="228">
        <f>AL43-'15'!AL43</f>
        <v>4.6012603936743016E-2</v>
      </c>
      <c r="AR43" s="54" t="s">
        <v>208</v>
      </c>
      <c r="AS43" s="252" t="s">
        <v>349</v>
      </c>
      <c r="AT43" s="59">
        <f>B1-'15'!B1</f>
        <v>164.34500000000025</v>
      </c>
      <c r="AU43" s="91">
        <f>AU1-'15'!AU1</f>
        <v>-4350</v>
      </c>
      <c r="AV43" s="54" t="s">
        <v>352</v>
      </c>
      <c r="AW43" s="73"/>
    </row>
  </sheetData>
  <sheetProtection password="CC70" sheet="1" objects="1" scenarios="1"/>
  <mergeCells count="19">
    <mergeCell ref="AU1:AV1"/>
    <mergeCell ref="AH1:AI1"/>
    <mergeCell ref="AJ1:AK1"/>
    <mergeCell ref="AL1:AM1"/>
    <mergeCell ref="AN1:AO1"/>
    <mergeCell ref="AP1:AQ1"/>
    <mergeCell ref="AR1:AS1"/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</mergeCells>
  <conditionalFormatting sqref="B34 F34 J34 N34 R34 V34 Z34 AD34 AH34 AL34 AP34 AT34">
    <cfRule type="cellIs" dxfId="303" priority="89" operator="equal">
      <formula>$R$1</formula>
    </cfRule>
    <cfRule type="cellIs" dxfId="302" priority="90" operator="equal">
      <formula>$M$1</formula>
    </cfRule>
  </conditionalFormatting>
  <conditionalFormatting sqref="C34 G34 K34 O34 S34 W34 AA34 AE34 AI34 AM34 AQ34 AU34">
    <cfRule type="cellIs" dxfId="301" priority="88" operator="equal">
      <formula>$AF$1</formula>
    </cfRule>
    <cfRule type="cellIs" dxfId="300" priority="91" operator="equal">
      <formula>$AJ$1</formula>
    </cfRule>
  </conditionalFormatting>
  <conditionalFormatting sqref="B38:C38 AT42:AU43 AP42:AQ42 F38:G38 J38:K38 N38:O38 R38:S38 V38:W38 Z38:AA38 AH38:AI38 AL38:AM38 AP38:AQ38 AT38:AU38 AD38:AE38">
    <cfRule type="cellIs" dxfId="299" priority="85" operator="lessThan">
      <formula>0</formula>
    </cfRule>
    <cfRule type="cellIs" dxfId="298" priority="86" operator="greaterThanOrEqual">
      <formula>0</formula>
    </cfRule>
  </conditionalFormatting>
  <conditionalFormatting sqref="C38 AU42:AU43 AQ42 G38 K38 O38 S38 W38 AA38 AE38 AI38 AM38 AQ38 AU38">
    <cfRule type="cellIs" dxfId="297" priority="83" operator="lessThan">
      <formula>0</formula>
    </cfRule>
    <cfRule type="cellIs" dxfId="296" priority="84" operator="greaterThanOrEqual">
      <formula>0</formula>
    </cfRule>
  </conditionalFormatting>
  <conditionalFormatting sqref="D38">
    <cfRule type="cellIs" dxfId="295" priority="76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294" priority="75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293" priority="74" operator="equal">
      <formula>MAX($D$34,$H$34,$L$34,$P$34,$T$34,$X$34,$AB$34,$AF$34,$AJ$34,$AN$34,$AR$34,$AV$34)</formula>
    </cfRule>
  </conditionalFormatting>
  <conditionalFormatting sqref="H3:H33 L3:L33 T3:T33 X3:X33 AB3:AB33 AF3:AF33 AJ3:AJ33 AN3:AN33 AR3:AR33 AV3:AV33 D3:D33 P3:P23 P25:P33">
    <cfRule type="cellIs" dxfId="292" priority="71" stopIfTrue="1" operator="between">
      <formula>0</formula>
      <formula>0.0416550925925926</formula>
    </cfRule>
    <cfRule type="cellIs" dxfId="291" priority="72" stopIfTrue="1" operator="between">
      <formula>0.0416666666666667</formula>
      <formula>0.0833217592592593</formula>
    </cfRule>
    <cfRule type="cellIs" dxfId="290" priority="73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289" priority="59" operator="equal">
      <formula>MAX($D$36,$H$36,$L$36,$P$36,$T$36,$X$36,$AB$36,$AF$36,$AJ$36,$AN$36,$AR$36,$AV$36)</formula>
    </cfRule>
  </conditionalFormatting>
  <conditionalFormatting sqref="AP43">
    <cfRule type="cellIs" dxfId="288" priority="57" operator="lessThan">
      <formula>0</formula>
    </cfRule>
    <cfRule type="cellIs" dxfId="287" priority="58" operator="greaterThanOrEqual">
      <formula>0</formula>
    </cfRule>
  </conditionalFormatting>
  <conditionalFormatting sqref="B3:B33 F3:F33 J3:J33 R3:R33 V3:V33 Z3:Z33 AT3:AT33 AH3:AH33 AL3:AL33 AP3:AP33 N3:N23 N25:N33 AD3:AD33">
    <cfRule type="cellIs" dxfId="286" priority="80" stopIfTrue="1" operator="lessThan">
      <formula>50</formula>
    </cfRule>
    <cfRule type="cellIs" dxfId="285" priority="81" stopIfTrue="1" operator="greaterThanOrEqual">
      <formula>100</formula>
    </cfRule>
    <cfRule type="cellIs" dxfId="284" priority="82" operator="greaterThanOrEqual">
      <formula>50</formula>
    </cfRule>
  </conditionalFormatting>
  <conditionalFormatting sqref="C3:C33 G3:G33 K3:K33 S3:S33 W3:W33 AA3:AA33 AU3:AU33 AI3:AI33 AM3:AM33 AQ3:AQ33 AE3:AE33 O3:O23 O25:O33">
    <cfRule type="cellIs" dxfId="283" priority="77" stopIfTrue="1" operator="between">
      <formula>0</formula>
      <formula>749.99</formula>
    </cfRule>
    <cfRule type="cellIs" dxfId="282" priority="78" stopIfTrue="1" operator="greaterThanOrEqual">
      <formula>1500</formula>
    </cfRule>
    <cfRule type="cellIs" dxfId="281" priority="79" operator="greaterThanOrEqual">
      <formula>750</formula>
    </cfRule>
  </conditionalFormatting>
  <conditionalFormatting sqref="AQ43">
    <cfRule type="cellIs" dxfId="280" priority="55" stopIfTrue="1" operator="lessThan">
      <formula>0</formula>
    </cfRule>
    <cfRule type="cellIs" dxfId="279" priority="56" operator="greaterThanOrEqual">
      <formula>0</formula>
    </cfRule>
  </conditionalFormatting>
  <conditionalFormatting sqref="AL42">
    <cfRule type="cellIs" dxfId="278" priority="50" stopIfTrue="1" operator="lessThan">
      <formula>1000</formula>
    </cfRule>
    <cfRule type="cellIs" dxfId="277" priority="51" stopIfTrue="1" operator="lessThan">
      <formula>1100</formula>
    </cfRule>
    <cfRule type="cellIs" dxfId="276" priority="52" stopIfTrue="1" operator="lessThan">
      <formula>9999</formula>
    </cfRule>
  </conditionalFormatting>
  <conditionalFormatting sqref="AM42">
    <cfRule type="cellIs" dxfId="275" priority="47" stopIfTrue="1" operator="lessThan">
      <formula>10000</formula>
    </cfRule>
    <cfRule type="cellIs" dxfId="274" priority="48" stopIfTrue="1" operator="lessThan">
      <formula>13000</formula>
    </cfRule>
    <cfRule type="cellIs" dxfId="273" priority="49" stopIfTrue="1" operator="lessThan">
      <formula>99999</formula>
    </cfRule>
  </conditionalFormatting>
  <conditionalFormatting sqref="AL43">
    <cfRule type="cellIs" dxfId="272" priority="44" stopIfTrue="1" operator="lessThan">
      <formula>0.05</formula>
    </cfRule>
    <cfRule type="cellIs" dxfId="271" priority="45" stopIfTrue="1" operator="lessThan">
      <formula>0.1</formula>
    </cfRule>
    <cfRule type="cellIs" dxfId="270" priority="46" stopIfTrue="1" operator="lessThanOrEqual">
      <formula>1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9" operator="equal" id="{9550C617-BA40-4BF5-981D-127F34BEB3CB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30" operator="equal" id="{1A08F578-162A-4408-9544-F70FF39627B8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70" operator="equal" id="{0DA4F058-0A15-47F7-95AB-B7577AA987AC}">
            <xm:f>MAX( '13'!$C$34,$C$34)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69" operator="equal" id="{23B5C4BF-9AB8-4AE5-84C1-E0978BE6AF54}">
            <xm:f>MAX( '14'!$G$34,$G$34)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68" operator="equal" id="{7330D2EA-16E8-4773-9A20-D641251DD9D8}">
            <xm:f>MAX( '14'!$K$34,$K$34)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67" operator="equal" id="{AF47374B-36EF-4C45-AC1B-E3D2B8DE6ABD}">
            <xm:f>MAX( '12'!$O$34,$O$34)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66" operator="equal" id="{67AAED06-82DC-4379-92D3-2A3988C3BEF9}">
            <xm:f>MAX( '12'!$S$34,$S$34)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65" operator="equal" id="{83ED6B2F-DB32-48A6-B6AC-FD54ACEC85A6}">
            <xm:f>MAX( '13'!$W$34,$W$34)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64" operator="equal" id="{A16F2587-5DDC-4393-A2B7-D4C681710B5E}">
            <xm:f>MAX( '13'!$AA$34,$AA$34)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63" operator="equal" id="{6C94274B-FEDB-4345-BA48-142203DC1F92}">
            <xm:f>MAX( '12'!$AE$34,$AE$34)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62" operator="equal" id="{99E83A39-6810-476F-A844-DFCB847ECB39}">
            <xm:f>MAX( 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61" operator="equal" id="{7196DE0F-4C79-4575-8FB8-4CC99B58CCD4}">
            <xm:f>MAX( 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60" operator="equal" id="{105F2BDA-CF9C-4BDA-9D62-4C59E36AF15F}">
            <xm:f>MAX( '14'!$AQ$34,$AQ$34)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87" operator="equal" id="{AE60FA58-D558-4479-AE2D-DEE6280F61BB}">
            <xm:f>MAX( '14'!$AU$34,$AU$34)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39" operator="equal" id="{B56A1560-D243-437C-B43A-5ADF11158B99}">
            <xm:f>MAX( 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54" operator="equal" id="{7FB20178-435D-45A1-BBAC-E0F6E2AAD5D2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53" operator="equal" id="{58B77D3D-25A8-45DF-A4CF-C91041C01B99}">
            <xm:f>stat!$S$5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43" operator="equal" id="{68A38AF8-61D7-4E7A-98B4-7EBB2C144E69}">
            <xm:f>MAX($B$1,'12'!$B$1:$C$1)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42" operator="equal" id="{FD284962-42FB-432D-8CA4-9403E1E57959}">
            <xm:f>MAX( '14'!$B$34,$B$34)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41" operator="equal" id="{4C0CA03D-4E30-4AE0-AA95-FCC1044C4A7C}">
            <xm:f>MAX( '14'!$F$34,$F$34)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40" operator="equal" id="{110EAEBB-561D-4E91-8950-8D2D924E54D3}">
            <xm:f>MAX( '14'!$J$34,$J$34)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38" operator="equal" id="{562F8FEC-4788-47EE-BFF8-436BEF503CFB}">
            <xm:f>MAX( '12'!$R$34,$R$34)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37" operator="equal" id="{4445DDF5-9100-49CF-ACE7-813D575B034C}">
            <xm:f>MAX('08'!$Q$34,$V$34)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36" operator="equal" id="{81DD4726-3979-473D-B15D-E1E4DDE47EBC}">
            <xm:f>MAX( '12'!$Z$34,$Z$34)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35" operator="equal" id="{3CEDAE1E-5E5D-43AA-BDFE-96D26CDCC9BB}">
            <xm:f>MAX( '12'!$AD$34,$AD$34)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34" operator="equal" id="{F3DDB50F-3C3F-4247-B60C-A7FB6F4A6668}">
            <xm:f>MAX( '13'!$AH$34,$AH$34)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33" operator="equal" id="{5B229525-5404-4FE8-AC89-79F662A27271}">
            <xm:f>MAX( '13'!$AL$34,$AL$34)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32" operator="equal" id="{35EDCC4C-B565-4243-B9A4-6D48E531E672}">
            <xm:f>MAX( '14'!$AP$34,$AP$34)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31" operator="equal" id="{A23D6C83-9373-40AF-9457-A2C6B16D8333}">
            <xm:f>MAX( '15'!$AT$34,$AT$34)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28" operator="equal" id="{22763366-9E04-48E1-9059-BA07BF4AC324}">
            <xm:f>MAX($E$1,'12'!$E$1:$F$1)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27" operator="equal" id="{71CC20BF-7656-4B44-8F01-59E061983465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26" operator="equal" id="{258F04E8-9E43-4E02-BA79-D3AB2ACF672E}">
            <xm:f>stat!$N$12</xm:f>
            <x14:dxf>
              <font>
                <b val="0"/>
                <i/>
              </font>
            </x14:dxf>
          </x14:cfRule>
          <xm:sqref>N42</xm:sqref>
        </x14:conditionalFormatting>
        <x14:conditionalFormatting xmlns:xm="http://schemas.microsoft.com/office/excel/2006/main">
          <x14:cfRule type="cellIs" priority="25" operator="equal" id="{18207795-17E6-4E42-BB7A-D0287858F9DB}">
            <xm:f>stat!$N$14</xm:f>
            <x14:dxf>
              <font>
                <b val="0"/>
                <i/>
              </font>
            </x14:dxf>
          </x14:cfRule>
          <xm:sqref>N43</xm:sqref>
        </x14:conditionalFormatting>
        <x14:conditionalFormatting xmlns:xm="http://schemas.microsoft.com/office/excel/2006/main">
          <x14:cfRule type="cellIs" priority="24" operator="equal" id="{53528F5F-4F66-4D3C-9D2C-7CE0DBD1D2EA}">
            <xm:f>MAX( '15'!$AT$36,$AT$36)</xm:f>
            <x14:dxf>
              <font>
                <b val="0"/>
                <i/>
              </font>
            </x14:dxf>
          </x14:cfRule>
          <xm:sqref>AT36</xm:sqref>
        </x14:conditionalFormatting>
        <x14:conditionalFormatting xmlns:xm="http://schemas.microsoft.com/office/excel/2006/main">
          <x14:cfRule type="cellIs" priority="23" operator="equal" id="{3DADBA9D-C3E8-4752-968C-7F105AA10174}">
            <xm:f>MAX( '08'!$AJ$37,$AU$36)</xm:f>
            <x14:dxf>
              <font>
                <b val="0"/>
                <i/>
              </font>
            </x14:dxf>
          </x14:cfRule>
          <xm:sqref>AU36</xm:sqref>
        </x14:conditionalFormatting>
        <x14:conditionalFormatting xmlns:xm="http://schemas.microsoft.com/office/excel/2006/main">
          <x14:cfRule type="cellIs" priority="22" operator="equal" id="{1801A415-152C-4BBE-84BD-11D8F10711DF}">
            <xm:f>MAX( '14'!$AQ$36,$AQ$36)</xm:f>
            <x14:dxf>
              <font>
                <b val="0"/>
                <i/>
              </font>
            </x14:dxf>
          </x14:cfRule>
          <xm:sqref>AQ36</xm:sqref>
        </x14:conditionalFormatting>
        <x14:conditionalFormatting xmlns:xm="http://schemas.microsoft.com/office/excel/2006/main">
          <x14:cfRule type="cellIs" priority="21" operator="equal" id="{B8F70BE5-68BB-47D2-AE5C-5E494C9986C7}">
            <xm:f>MAX('08'!$AF$37,$AP$36)</xm:f>
            <x14:dxf>
              <font>
                <b val="0"/>
                <i/>
              </font>
            </x14:dxf>
          </x14:cfRule>
          <xm:sqref>AP36</xm:sqref>
        </x14:conditionalFormatting>
        <x14:conditionalFormatting xmlns:xm="http://schemas.microsoft.com/office/excel/2006/main">
          <x14:cfRule type="cellIs" priority="20" operator="equal" id="{29A9714D-7EFB-42E7-A6B6-C592A0244500}">
            <xm:f>MAX('14'!$AM$36,$AM$36)</xm:f>
            <x14:dxf>
              <font>
                <b val="0"/>
                <i/>
              </font>
            </x14:dxf>
          </x14:cfRule>
          <xm:sqref>AM36</xm:sqref>
        </x14:conditionalFormatting>
        <x14:conditionalFormatting xmlns:xm="http://schemas.microsoft.com/office/excel/2006/main">
          <x14:cfRule type="cellIs" priority="19" operator="equal" id="{AC9FCE57-5A7D-4FEB-B4EF-CC00A54E2EED}">
            <xm:f>MAX('09'!$AL$36,$AL$36)</xm:f>
            <x14:dxf>
              <font>
                <b val="0"/>
                <i/>
              </font>
            </x14:dxf>
          </x14:cfRule>
          <xm:sqref>AL36</xm:sqref>
        </x14:conditionalFormatting>
        <x14:conditionalFormatting xmlns:xm="http://schemas.microsoft.com/office/excel/2006/main">
          <x14:cfRule type="cellIs" priority="18" operator="equal" id="{DE4C031F-9FF8-4FD9-B712-B451F3D14CB9}">
            <xm:f>MAX('11'!$AI$36,$AI$36)</xm:f>
            <x14:dxf>
              <font>
                <b val="0"/>
                <i/>
              </font>
            </x14:dxf>
          </x14:cfRule>
          <xm:sqref>AI36</xm:sqref>
        </x14:conditionalFormatting>
        <x14:conditionalFormatting xmlns:xm="http://schemas.microsoft.com/office/excel/2006/main">
          <x14:cfRule type="cellIs" priority="17" operator="equal" id="{B47EED4F-F199-41EB-A78C-A17F84B25792}">
            <xm:f>MAX('13'!$AH$36,$AH$36)</xm:f>
            <x14:dxf>
              <font>
                <b val="0"/>
                <i/>
              </font>
            </x14:dxf>
          </x14:cfRule>
          <xm:sqref>AH36</xm:sqref>
        </x14:conditionalFormatting>
        <x14:conditionalFormatting xmlns:xm="http://schemas.microsoft.com/office/excel/2006/main">
          <x14:cfRule type="cellIs" priority="16" operator="equal" id="{43541E2C-AE39-4E9F-8252-2AEF7219C8A0}">
            <xm:f>MAX('12'!$AE$36,$AE$36)</xm:f>
            <x14:dxf>
              <font>
                <b val="0"/>
                <i/>
              </font>
            </x14:dxf>
          </x14:cfRule>
          <xm:sqref>AE36</xm:sqref>
        </x14:conditionalFormatting>
        <x14:conditionalFormatting xmlns:xm="http://schemas.microsoft.com/office/excel/2006/main">
          <x14:cfRule type="cellIs" priority="15" operator="equal" id="{D2D93355-D988-4F54-B278-C82570498B51}">
            <xm:f>MAX('12'!$AD$36,$AD$36)</xm:f>
            <x14:dxf>
              <font>
                <b val="0"/>
                <i/>
              </font>
            </x14:dxf>
          </x14:cfRule>
          <xm:sqref>AD36</xm:sqref>
        </x14:conditionalFormatting>
        <x14:conditionalFormatting xmlns:xm="http://schemas.microsoft.com/office/excel/2006/main">
          <x14:cfRule type="cellIs" priority="14" operator="equal" id="{F7860C86-EC50-4D5E-B9B2-81918D56063D}">
            <xm:f>MAX('13'!$AA$36,$AA$36)</xm:f>
            <x14:dxf>
              <font>
                <b val="0"/>
                <i/>
              </font>
            </x14:dxf>
          </x14:cfRule>
          <xm:sqref>AA36</xm:sqref>
        </x14:conditionalFormatting>
        <x14:conditionalFormatting xmlns:xm="http://schemas.microsoft.com/office/excel/2006/main">
          <x14:cfRule type="cellIs" priority="13" operator="equal" id="{99112BD8-9367-4B06-A752-097FC4097D72}">
            <xm:f>MAX('09'!$Z$36,$Z$36)</xm:f>
            <x14:dxf>
              <font>
                <b val="0"/>
                <i/>
              </font>
            </x14:dxf>
          </x14:cfRule>
          <xm:sqref>Z36</xm:sqref>
        </x14:conditionalFormatting>
        <x14:conditionalFormatting xmlns:xm="http://schemas.microsoft.com/office/excel/2006/main">
          <x14:cfRule type="cellIs" priority="12" operator="equal" id="{7CF76C49-EAB1-4749-84EB-5B327EE84348}">
            <xm:f>MAX('11'!$W$36,$W$36)</xm:f>
            <x14:dxf>
              <font>
                <b val="0"/>
                <i/>
              </font>
            </x14:dxf>
          </x14:cfRule>
          <xm:sqref>W36</xm:sqref>
        </x14:conditionalFormatting>
        <x14:conditionalFormatting xmlns:xm="http://schemas.microsoft.com/office/excel/2006/main">
          <x14:cfRule type="cellIs" priority="11" operator="equal" id="{BC7A9BD4-BEF4-46B2-96B8-89FEA17EF9E9}">
            <xm:f>MAX('14'!$V$36,$V$36)</xm:f>
            <x14:dxf>
              <font>
                <b val="0"/>
                <i/>
              </font>
            </x14:dxf>
          </x14:cfRule>
          <xm:sqref>V36</xm:sqref>
        </x14:conditionalFormatting>
        <x14:conditionalFormatting xmlns:xm="http://schemas.microsoft.com/office/excel/2006/main">
          <x14:cfRule type="cellIs" priority="10" operator="equal" id="{C8E19540-86B3-4A4C-A243-4063ECCED622}">
            <xm:f>MAX('13'!$S$36,$S$36)</xm:f>
            <x14:dxf>
              <font>
                <b val="0"/>
                <i/>
              </font>
            </x14:dxf>
          </x14:cfRule>
          <xm:sqref>S36</xm:sqref>
        </x14:conditionalFormatting>
        <x14:conditionalFormatting xmlns:xm="http://schemas.microsoft.com/office/excel/2006/main">
          <x14:cfRule type="cellIs" priority="9" operator="equal" id="{F503427C-F054-4A84-AAE0-595B9AA16450}">
            <xm:f>MAX('09'!$R$36,$R$36)</xm:f>
            <x14:dxf>
              <font>
                <b val="0"/>
                <i/>
              </font>
            </x14:dxf>
          </x14:cfRule>
          <xm:sqref>R36</xm:sqref>
        </x14:conditionalFormatting>
        <x14:conditionalFormatting xmlns:xm="http://schemas.microsoft.com/office/excel/2006/main">
          <x14:cfRule type="cellIs" priority="8" operator="equal" id="{98C9E0BD-ADFB-4F5A-92DB-A6F74D6C639D}">
            <xm:f>MAX('08'!$K$37,$N$36)</xm:f>
            <x14:dxf>
              <font>
                <b val="0"/>
                <i/>
              </font>
            </x14:dxf>
          </x14:cfRule>
          <xm:sqref>N36</xm:sqref>
        </x14:conditionalFormatting>
        <x14:conditionalFormatting xmlns:xm="http://schemas.microsoft.com/office/excel/2006/main">
          <x14:cfRule type="cellIs" priority="7" operator="equal" id="{5B9DB828-0DC9-4268-ADD1-92547286BB59}">
            <xm:f>MAX('12'!$O$36,$O$36)</xm:f>
            <x14:dxf>
              <font>
                <b val="0"/>
                <i/>
              </font>
            </x14:dxf>
          </x14:cfRule>
          <xm:sqref>O36</xm:sqref>
        </x14:conditionalFormatting>
        <x14:conditionalFormatting xmlns:xm="http://schemas.microsoft.com/office/excel/2006/main">
          <x14:cfRule type="cellIs" priority="6" operator="equal" id="{28D798E2-E0E5-46AE-8B25-BFCE9D9F0C11}">
            <xm:f>MAX('12'!$J$36,$J$36)</xm:f>
            <x14:dxf>
              <font>
                <b val="0"/>
                <i/>
              </font>
            </x14:dxf>
          </x14:cfRule>
          <xm:sqref>J36</xm:sqref>
        </x14:conditionalFormatting>
        <x14:conditionalFormatting xmlns:xm="http://schemas.microsoft.com/office/excel/2006/main">
          <x14:cfRule type="cellIs" priority="5" operator="equal" id="{8C83957C-ED4D-4BD7-B876-F8E396FDE24F}">
            <xm:f>MAX('12'!$K$36,$K$36)</xm:f>
            <x14:dxf>
              <font>
                <b val="0"/>
                <i/>
              </font>
            </x14:dxf>
          </x14:cfRule>
          <xm:sqref>K36</xm:sqref>
        </x14:conditionalFormatting>
        <x14:conditionalFormatting xmlns:xm="http://schemas.microsoft.com/office/excel/2006/main">
          <x14:cfRule type="cellIs" priority="4" operator="equal" id="{6E48000F-8A7C-458A-A9F4-FE8C8B26A8D0}">
            <xm:f>MAX('08'!$E$37,$F$36)</xm:f>
            <x14:dxf>
              <font>
                <b val="0"/>
                <i/>
              </font>
            </x14:dxf>
          </x14:cfRule>
          <xm:sqref>F36</xm:sqref>
        </x14:conditionalFormatting>
        <x14:conditionalFormatting xmlns:xm="http://schemas.microsoft.com/office/excel/2006/main">
          <x14:cfRule type="cellIs" priority="3" operator="equal" id="{9E53DA24-AA3A-4E12-9C70-F5534231D475}">
            <xm:f>MAX('14'!$G$36,$G$36)</xm:f>
            <x14:dxf>
              <font>
                <b val="0"/>
                <i/>
              </font>
            </x14:dxf>
          </x14:cfRule>
          <xm:sqref>G36</xm:sqref>
        </x14:conditionalFormatting>
        <x14:conditionalFormatting xmlns:xm="http://schemas.microsoft.com/office/excel/2006/main">
          <x14:cfRule type="cellIs" priority="2" operator="equal" id="{2C98C7D2-EF48-4EEE-BE94-214714698BCD}">
            <xm:f>MAX('14'!$B$36,$B$36)</xm:f>
            <x14:dxf>
              <font>
                <b val="0"/>
                <i/>
              </font>
            </x14:dxf>
          </x14:cfRule>
          <xm:sqref>B36</xm:sqref>
        </x14:conditionalFormatting>
        <x14:conditionalFormatting xmlns:xm="http://schemas.microsoft.com/office/excel/2006/main">
          <x14:cfRule type="cellIs" priority="1" operator="equal" id="{F7CC1BE5-9858-4725-846F-E33C64501C1C}">
            <xm:f>MAX('08'!$C$37,$C$36)</xm:f>
            <x14:dxf>
              <font>
                <b val="0"/>
                <i/>
              </font>
            </x14:dxf>
          </x14:cfRule>
          <xm:sqref>C36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499984740745262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4" width="5" bestFit="1" customWidth="1"/>
    <col min="5" max="5" width="6.5703125" bestFit="1" customWidth="1"/>
    <col min="6" max="6" width="7" bestFit="1" customWidth="1"/>
    <col min="7" max="7" width="5.7109375" bestFit="1" customWidth="1"/>
    <col min="8" max="8" width="4" bestFit="1" customWidth="1"/>
    <col min="9" max="9" width="3.5703125" bestFit="1" customWidth="1"/>
    <col min="10" max="10" width="7" bestFit="1" customWidth="1"/>
    <col min="11" max="11" width="5.7109375" bestFit="1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.140625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6.5703125" bestFit="1" customWidth="1"/>
    <col min="35" max="35" width="5.8554687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6.28515625" bestFit="1" customWidth="1"/>
    <col min="44" max="44" width="4" bestFit="1" customWidth="1"/>
    <col min="45" max="45" width="3.7109375" bestFit="1" customWidth="1"/>
    <col min="46" max="46" width="7.140625" bestFit="1" customWidth="1"/>
    <col min="47" max="47" width="5.85546875" bestFit="1" customWidth="1"/>
    <col min="48" max="48" width="4" bestFit="1" customWidth="1"/>
    <col min="49" max="49" width="4.5703125" customWidth="1"/>
  </cols>
  <sheetData>
    <row r="1" spans="1:49" s="94" customFormat="1" ht="18" x14ac:dyDescent="0.25">
      <c r="A1" s="96" t="s">
        <v>243</v>
      </c>
      <c r="B1" s="416">
        <f>AT35+AV35</f>
        <v>7223.52</v>
      </c>
      <c r="C1" s="416"/>
      <c r="D1" s="97" t="s">
        <v>243</v>
      </c>
      <c r="E1" s="417">
        <f>AT35</f>
        <v>6735.92</v>
      </c>
      <c r="F1" s="417"/>
      <c r="G1" s="418" t="s">
        <v>155</v>
      </c>
      <c r="H1" s="418"/>
      <c r="I1" s="414">
        <f>MAX(B36,F36,J36,N36,R36,V36,Z36,AD36,AH36,AL36,AP36,AT36)</f>
        <v>91</v>
      </c>
      <c r="J1" s="414"/>
      <c r="K1" s="419" t="s">
        <v>163</v>
      </c>
      <c r="L1" s="419"/>
      <c r="M1" s="420">
        <f>MAX(B34,F34,J34,N34,R34,V34,Z34,AD34,AH34,AL34,AP34,AT34)</f>
        <v>716.66</v>
      </c>
      <c r="N1" s="420"/>
      <c r="O1" s="413" t="s">
        <v>194</v>
      </c>
      <c r="P1" s="413"/>
      <c r="Q1" s="413"/>
      <c r="R1" s="185">
        <f>MIN(B34,F34,J34,N34,R34,V34,Z34,AD34,AH34,AL34,AP34,AT34)</f>
        <v>244.28</v>
      </c>
      <c r="S1" s="98" t="s">
        <v>211</v>
      </c>
      <c r="T1" s="426">
        <f>IFERROR(AVERAGE(B37,F37,J37,N37,R37,V37,Z37,AD37,AH37,AL37,AP37,AT37),0)</f>
        <v>19.935633656925202</v>
      </c>
      <c r="U1" s="426"/>
      <c r="V1" s="440" t="s">
        <v>844</v>
      </c>
      <c r="W1" s="440"/>
      <c r="X1" s="440"/>
      <c r="Y1" s="440"/>
      <c r="Z1" s="440"/>
      <c r="AA1" s="99" t="s">
        <v>211</v>
      </c>
      <c r="AB1" s="415">
        <f>IFERROR(AVERAGE(C37,G37,K37,O37,S37,W37,AA37,AE37,AI37,AM37,AQ37,AU37),0)</f>
        <v>157.68830549968854</v>
      </c>
      <c r="AC1" s="415"/>
      <c r="AD1" s="425" t="s">
        <v>194</v>
      </c>
      <c r="AE1" s="425"/>
      <c r="AF1" s="428">
        <f>MIN(C34,G34,K34,O34,S34,W34,AA34,AE34,AI34,AM34,AQ34,AU34)</f>
        <v>1676</v>
      </c>
      <c r="AG1" s="428"/>
      <c r="AH1" s="429" t="s">
        <v>163</v>
      </c>
      <c r="AI1" s="429"/>
      <c r="AJ1" s="430">
        <f>MAX(C34,G34,K34,O34,S34,W34,AA34,AE34,AI34,AM34,AQ34,AU34)</f>
        <v>10132</v>
      </c>
      <c r="AK1" s="430"/>
      <c r="AL1" s="432" t="s">
        <v>156</v>
      </c>
      <c r="AM1" s="432"/>
      <c r="AN1" s="431">
        <f>MAX(C36,G36,K36,O36,S36,W36,AA36,AE36,AI36,AM36,AQ36,AU36)</f>
        <v>1965</v>
      </c>
      <c r="AO1" s="431"/>
      <c r="AP1" s="421" t="s">
        <v>366</v>
      </c>
      <c r="AQ1" s="421"/>
      <c r="AR1" s="422">
        <f>MAX(D36,H36,L36,P36,T36,X36,AB36,AF36,AJ36,AN36,AR36,AV36)</f>
        <v>6.9444444444444434E-2</v>
      </c>
      <c r="AS1" s="422"/>
      <c r="AT1" s="95" t="s">
        <v>2</v>
      </c>
      <c r="AU1" s="423">
        <f>AU35</f>
        <v>52549</v>
      </c>
      <c r="AV1" s="424"/>
      <c r="AW1" s="121"/>
    </row>
    <row r="2" spans="1:49" s="58" customFormat="1" ht="11.25" x14ac:dyDescent="0.2">
      <c r="A2" s="64" t="s">
        <v>197</v>
      </c>
      <c r="B2" s="49" t="s">
        <v>243</v>
      </c>
      <c r="C2" s="49" t="s">
        <v>2</v>
      </c>
      <c r="D2" s="49" t="s">
        <v>208</v>
      </c>
      <c r="E2" s="70" t="s">
        <v>198</v>
      </c>
      <c r="F2" s="49" t="s">
        <v>243</v>
      </c>
      <c r="G2" s="49" t="s">
        <v>2</v>
      </c>
      <c r="H2" s="49" t="s">
        <v>208</v>
      </c>
      <c r="I2" s="70" t="s">
        <v>200</v>
      </c>
      <c r="J2" s="49" t="s">
        <v>243</v>
      </c>
      <c r="K2" s="49" t="s">
        <v>2</v>
      </c>
      <c r="L2" s="49" t="s">
        <v>208</v>
      </c>
      <c r="M2" s="70" t="s">
        <v>199</v>
      </c>
      <c r="N2" s="49" t="s">
        <v>243</v>
      </c>
      <c r="O2" s="49" t="s">
        <v>2</v>
      </c>
      <c r="P2" s="49" t="s">
        <v>208</v>
      </c>
      <c r="Q2" s="70" t="s">
        <v>100</v>
      </c>
      <c r="R2" s="49" t="s">
        <v>243</v>
      </c>
      <c r="S2" s="49" t="s">
        <v>2</v>
      </c>
      <c r="T2" s="49" t="s">
        <v>208</v>
      </c>
      <c r="U2" s="70" t="s">
        <v>201</v>
      </c>
      <c r="V2" s="49" t="s">
        <v>243</v>
      </c>
      <c r="W2" s="49" t="s">
        <v>2</v>
      </c>
      <c r="X2" s="49" t="s">
        <v>208</v>
      </c>
      <c r="Y2" s="70" t="s">
        <v>202</v>
      </c>
      <c r="Z2" s="49" t="s">
        <v>243</v>
      </c>
      <c r="AA2" s="49" t="s">
        <v>2</v>
      </c>
      <c r="AB2" s="49" t="s">
        <v>208</v>
      </c>
      <c r="AC2" s="70" t="s">
        <v>203</v>
      </c>
      <c r="AD2" s="49" t="s">
        <v>243</v>
      </c>
      <c r="AE2" s="49" t="s">
        <v>2</v>
      </c>
      <c r="AF2" s="49" t="s">
        <v>208</v>
      </c>
      <c r="AG2" s="70" t="s">
        <v>204</v>
      </c>
      <c r="AH2" s="49" t="s">
        <v>243</v>
      </c>
      <c r="AI2" s="49" t="s">
        <v>2</v>
      </c>
      <c r="AJ2" s="49" t="s">
        <v>208</v>
      </c>
      <c r="AK2" s="70" t="s">
        <v>205</v>
      </c>
      <c r="AL2" s="49" t="s">
        <v>243</v>
      </c>
      <c r="AM2" s="49" t="s">
        <v>2</v>
      </c>
      <c r="AN2" s="49" t="s">
        <v>208</v>
      </c>
      <c r="AO2" s="70" t="s">
        <v>206</v>
      </c>
      <c r="AP2" s="49" t="s">
        <v>243</v>
      </c>
      <c r="AQ2" s="49" t="s">
        <v>2</v>
      </c>
      <c r="AR2" s="49" t="s">
        <v>208</v>
      </c>
      <c r="AS2" s="70" t="s">
        <v>207</v>
      </c>
      <c r="AT2" s="49" t="s">
        <v>243</v>
      </c>
      <c r="AU2" s="49" t="s">
        <v>2</v>
      </c>
      <c r="AV2" s="49" t="s">
        <v>208</v>
      </c>
      <c r="AW2" s="105"/>
    </row>
    <row r="3" spans="1:49" s="54" customFormat="1" ht="11.25" x14ac:dyDescent="0.2">
      <c r="A3" s="86">
        <v>1</v>
      </c>
      <c r="B3" s="59">
        <v>11.4</v>
      </c>
      <c r="C3" s="60">
        <v>40</v>
      </c>
      <c r="D3" s="186">
        <v>1.0416666666666666E-2</v>
      </c>
      <c r="E3" s="88">
        <v>1</v>
      </c>
      <c r="F3" s="59">
        <v>10.6</v>
      </c>
      <c r="G3" s="60">
        <v>30</v>
      </c>
      <c r="H3" s="186"/>
      <c r="I3" s="88">
        <v>1</v>
      </c>
      <c r="J3" s="59">
        <v>15.53</v>
      </c>
      <c r="K3" s="60">
        <v>20</v>
      </c>
      <c r="L3" s="186"/>
      <c r="M3" s="88">
        <v>1</v>
      </c>
      <c r="N3" s="59">
        <v>18.5</v>
      </c>
      <c r="O3" s="60">
        <v>265</v>
      </c>
      <c r="P3" s="186"/>
      <c r="Q3" s="88">
        <v>1</v>
      </c>
      <c r="R3" s="59">
        <v>15.05</v>
      </c>
      <c r="S3" s="60">
        <v>58</v>
      </c>
      <c r="T3" s="186">
        <v>1.0416666666666666E-2</v>
      </c>
      <c r="U3" s="88">
        <v>1</v>
      </c>
      <c r="V3" s="59">
        <v>14.32</v>
      </c>
      <c r="W3" s="60">
        <v>65</v>
      </c>
      <c r="X3" s="186"/>
      <c r="Y3" s="88">
        <v>1</v>
      </c>
      <c r="Z3" s="59">
        <v>31</v>
      </c>
      <c r="AA3" s="60">
        <v>800</v>
      </c>
      <c r="AB3" s="186"/>
      <c r="AC3" s="88">
        <v>1</v>
      </c>
      <c r="AD3" s="59">
        <v>16.68</v>
      </c>
      <c r="AE3" s="60">
        <v>105</v>
      </c>
      <c r="AF3" s="186"/>
      <c r="AG3" s="88">
        <v>1</v>
      </c>
      <c r="AH3" s="59">
        <v>15.76</v>
      </c>
      <c r="AI3" s="60">
        <v>45</v>
      </c>
      <c r="AJ3" s="186"/>
      <c r="AK3" s="88">
        <v>1</v>
      </c>
      <c r="AL3" s="59">
        <v>15.64</v>
      </c>
      <c r="AM3" s="60">
        <v>90</v>
      </c>
      <c r="AN3" s="186">
        <v>1.0416666666666666E-2</v>
      </c>
      <c r="AO3" s="88">
        <v>1</v>
      </c>
      <c r="AP3" s="59">
        <v>10.66</v>
      </c>
      <c r="AQ3" s="60">
        <v>55</v>
      </c>
      <c r="AR3" s="186">
        <v>1.1805555555555555E-2</v>
      </c>
      <c r="AS3" s="88">
        <v>1</v>
      </c>
      <c r="AT3" s="59">
        <v>12.27</v>
      </c>
      <c r="AU3" s="60">
        <v>40</v>
      </c>
      <c r="AV3" s="186"/>
      <c r="AW3" s="73"/>
    </row>
    <row r="4" spans="1:49" s="54" customFormat="1" ht="11.25" x14ac:dyDescent="0.2">
      <c r="A4" s="86">
        <f t="shared" ref="A4:A33" si="0">A3+1</f>
        <v>2</v>
      </c>
      <c r="B4" s="59">
        <v>11.18</v>
      </c>
      <c r="C4" s="60">
        <v>10</v>
      </c>
      <c r="D4" s="186"/>
      <c r="E4" s="88">
        <f t="shared" ref="E4:E30" si="1">E3+1</f>
        <v>2</v>
      </c>
      <c r="F4" s="59">
        <v>11</v>
      </c>
      <c r="G4" s="60">
        <v>30</v>
      </c>
      <c r="H4" s="186"/>
      <c r="I4" s="88">
        <f t="shared" ref="I4:I33" si="2">I3+1</f>
        <v>2</v>
      </c>
      <c r="J4" s="59">
        <v>10.48</v>
      </c>
      <c r="K4" s="60">
        <v>15</v>
      </c>
      <c r="L4" s="186"/>
      <c r="M4" s="88">
        <f t="shared" ref="M4:M32" si="3">M3+1</f>
        <v>2</v>
      </c>
      <c r="N4" s="59">
        <v>5</v>
      </c>
      <c r="O4" s="60">
        <v>3</v>
      </c>
      <c r="P4" s="186"/>
      <c r="Q4" s="88">
        <f t="shared" ref="Q4:Q33" si="4">Q3+1</f>
        <v>2</v>
      </c>
      <c r="R4" s="59">
        <v>6.4</v>
      </c>
      <c r="S4" s="60">
        <v>10</v>
      </c>
      <c r="T4" s="186"/>
      <c r="U4" s="88">
        <f t="shared" ref="U4:U32" si="5">U3+1</f>
        <v>2</v>
      </c>
      <c r="V4" s="59">
        <v>12.79</v>
      </c>
      <c r="W4" s="60">
        <v>16</v>
      </c>
      <c r="X4" s="186"/>
      <c r="Y4" s="88">
        <f t="shared" ref="Y4:Y33" si="6">Y3+1</f>
        <v>2</v>
      </c>
      <c r="Z4" s="59">
        <v>17.329999999999998</v>
      </c>
      <c r="AA4" s="60">
        <v>125</v>
      </c>
      <c r="AB4" s="186"/>
      <c r="AC4" s="88">
        <f t="shared" ref="AC4:AC33" si="7">AC3+1</f>
        <v>2</v>
      </c>
      <c r="AD4" s="59">
        <v>17.03</v>
      </c>
      <c r="AE4" s="60">
        <v>40</v>
      </c>
      <c r="AF4" s="186"/>
      <c r="AG4" s="88">
        <f>AG3+1</f>
        <v>2</v>
      </c>
      <c r="AH4" s="59">
        <v>42.06</v>
      </c>
      <c r="AI4" s="60">
        <v>360</v>
      </c>
      <c r="AJ4" s="186"/>
      <c r="AK4" s="88">
        <f>AK3+1</f>
        <v>2</v>
      </c>
      <c r="AL4" s="59">
        <v>17.8</v>
      </c>
      <c r="AM4" s="60">
        <v>80</v>
      </c>
      <c r="AN4" s="186"/>
      <c r="AO4" s="88">
        <f>AO3+1</f>
        <v>2</v>
      </c>
      <c r="AP4" s="59">
        <v>10</v>
      </c>
      <c r="AQ4" s="60">
        <v>10</v>
      </c>
      <c r="AR4" s="186"/>
      <c r="AS4" s="88">
        <f>AS3+1</f>
        <v>2</v>
      </c>
      <c r="AT4" s="59">
        <v>22.85</v>
      </c>
      <c r="AU4" s="60">
        <v>40</v>
      </c>
      <c r="AV4" s="186"/>
      <c r="AW4" s="73"/>
    </row>
    <row r="5" spans="1:49" s="54" customFormat="1" ht="11.25" x14ac:dyDescent="0.2">
      <c r="A5" s="86">
        <f t="shared" si="0"/>
        <v>3</v>
      </c>
      <c r="B5" s="59">
        <v>11.1</v>
      </c>
      <c r="C5" s="60">
        <v>20</v>
      </c>
      <c r="D5" s="186"/>
      <c r="E5" s="88">
        <f t="shared" si="1"/>
        <v>3</v>
      </c>
      <c r="F5" s="59">
        <v>5</v>
      </c>
      <c r="G5" s="60">
        <v>3</v>
      </c>
      <c r="H5" s="186"/>
      <c r="I5" s="88">
        <f t="shared" si="2"/>
        <v>3</v>
      </c>
      <c r="J5" s="59">
        <v>24.66</v>
      </c>
      <c r="K5" s="60">
        <v>25</v>
      </c>
      <c r="L5" s="186"/>
      <c r="M5" s="88">
        <f t="shared" si="3"/>
        <v>3</v>
      </c>
      <c r="N5" s="59">
        <v>5.64</v>
      </c>
      <c r="O5" s="60">
        <v>7</v>
      </c>
      <c r="P5" s="186"/>
      <c r="Q5" s="88">
        <f t="shared" si="4"/>
        <v>3</v>
      </c>
      <c r="R5" s="59">
        <v>13.1</v>
      </c>
      <c r="S5" s="60">
        <v>21</v>
      </c>
      <c r="T5" s="186"/>
      <c r="U5" s="88">
        <f t="shared" si="5"/>
        <v>3</v>
      </c>
      <c r="V5" s="59">
        <v>24.240000000000002</v>
      </c>
      <c r="W5" s="60">
        <v>393</v>
      </c>
      <c r="X5" s="186"/>
      <c r="Y5" s="88">
        <f t="shared" si="6"/>
        <v>3</v>
      </c>
      <c r="Z5" s="59">
        <v>25.02</v>
      </c>
      <c r="AA5" s="60">
        <v>248</v>
      </c>
      <c r="AB5" s="186"/>
      <c r="AC5" s="88">
        <f t="shared" si="7"/>
        <v>3</v>
      </c>
      <c r="AD5" s="59">
        <v>6</v>
      </c>
      <c r="AE5" s="60">
        <v>3</v>
      </c>
      <c r="AF5" s="186"/>
      <c r="AG5" s="88">
        <f t="shared" ref="AG5:AG32" si="8">AG4+1</f>
        <v>3</v>
      </c>
      <c r="AH5" s="59">
        <v>29.72</v>
      </c>
      <c r="AI5" s="60">
        <v>501</v>
      </c>
      <c r="AJ5" s="186"/>
      <c r="AK5" s="88">
        <f t="shared" ref="AK5:AK33" si="9">AK4+1</f>
        <v>3</v>
      </c>
      <c r="AL5" s="59">
        <v>16.84</v>
      </c>
      <c r="AM5" s="60">
        <v>45</v>
      </c>
      <c r="AN5" s="186"/>
      <c r="AO5" s="88">
        <f t="shared" ref="AO5:AO32" si="10">AO4+1</f>
        <v>3</v>
      </c>
      <c r="AP5" s="59">
        <v>15.86</v>
      </c>
      <c r="AQ5" s="60">
        <v>30</v>
      </c>
      <c r="AR5" s="186"/>
      <c r="AS5" s="88">
        <f t="shared" ref="AS5:AS33" si="11">AS4+1</f>
        <v>3</v>
      </c>
      <c r="AT5" s="59">
        <v>11.66</v>
      </c>
      <c r="AU5" s="60">
        <v>10</v>
      </c>
      <c r="AV5" s="186">
        <v>1.0416666666666666E-2</v>
      </c>
      <c r="AW5" s="73"/>
    </row>
    <row r="6" spans="1:49" s="54" customFormat="1" ht="11.25" x14ac:dyDescent="0.2">
      <c r="A6" s="86">
        <f t="shared" si="0"/>
        <v>4</v>
      </c>
      <c r="B6" s="59">
        <v>5</v>
      </c>
      <c r="C6" s="60">
        <v>3</v>
      </c>
      <c r="D6" s="186"/>
      <c r="E6" s="88">
        <f t="shared" si="1"/>
        <v>4</v>
      </c>
      <c r="F6" s="59">
        <v>14.21</v>
      </c>
      <c r="G6" s="60">
        <v>66</v>
      </c>
      <c r="H6" s="186">
        <v>1.3888888888888888E-2</v>
      </c>
      <c r="I6" s="88">
        <f t="shared" si="2"/>
        <v>4</v>
      </c>
      <c r="J6" s="59">
        <v>25.92</v>
      </c>
      <c r="K6" s="60">
        <v>124</v>
      </c>
      <c r="L6" s="186">
        <v>1.3888888888888888E-2</v>
      </c>
      <c r="M6" s="88">
        <f t="shared" si="3"/>
        <v>4</v>
      </c>
      <c r="N6" s="59">
        <v>13.38</v>
      </c>
      <c r="O6" s="60">
        <v>30</v>
      </c>
      <c r="P6" s="186">
        <v>6.9444444444444441E-3</v>
      </c>
      <c r="Q6" s="88">
        <f t="shared" si="4"/>
        <v>4</v>
      </c>
      <c r="R6" s="59">
        <v>20.43</v>
      </c>
      <c r="S6" s="60">
        <v>40</v>
      </c>
      <c r="T6" s="186"/>
      <c r="U6" s="88">
        <f t="shared" si="5"/>
        <v>4</v>
      </c>
      <c r="V6" s="59">
        <v>37.729999999999997</v>
      </c>
      <c r="W6" s="60">
        <v>277</v>
      </c>
      <c r="X6" s="186"/>
      <c r="Y6" s="88">
        <f t="shared" si="6"/>
        <v>4</v>
      </c>
      <c r="Z6" s="59">
        <v>20.75</v>
      </c>
      <c r="AA6" s="60">
        <v>45</v>
      </c>
      <c r="AB6" s="186"/>
      <c r="AC6" s="88">
        <f t="shared" si="7"/>
        <v>4</v>
      </c>
      <c r="AD6" s="59">
        <v>5.43</v>
      </c>
      <c r="AE6" s="60">
        <v>3</v>
      </c>
      <c r="AF6" s="186"/>
      <c r="AG6" s="88">
        <f t="shared" si="8"/>
        <v>4</v>
      </c>
      <c r="AH6" s="59">
        <v>16.3</v>
      </c>
      <c r="AI6" s="60">
        <v>65</v>
      </c>
      <c r="AJ6" s="186"/>
      <c r="AK6" s="88">
        <f t="shared" si="9"/>
        <v>4</v>
      </c>
      <c r="AL6" s="59">
        <v>10.050000000000001</v>
      </c>
      <c r="AM6" s="60">
        <v>30</v>
      </c>
      <c r="AN6" s="186"/>
      <c r="AO6" s="88">
        <f t="shared" si="10"/>
        <v>4</v>
      </c>
      <c r="AP6" s="59">
        <v>21</v>
      </c>
      <c r="AQ6" s="60">
        <v>380</v>
      </c>
      <c r="AR6" s="186"/>
      <c r="AS6" s="88">
        <f t="shared" si="11"/>
        <v>4</v>
      </c>
      <c r="AT6" s="59">
        <v>24.6</v>
      </c>
      <c r="AU6" s="60">
        <v>135</v>
      </c>
      <c r="AV6" s="186"/>
      <c r="AW6" s="73"/>
    </row>
    <row r="7" spans="1:49" s="54" customFormat="1" ht="11.25" x14ac:dyDescent="0.2">
      <c r="A7" s="86">
        <f t="shared" si="0"/>
        <v>5</v>
      </c>
      <c r="B7" s="59"/>
      <c r="C7" s="60"/>
      <c r="D7" s="186"/>
      <c r="E7" s="88">
        <f t="shared" si="1"/>
        <v>5</v>
      </c>
      <c r="F7" s="59">
        <v>20.100000000000001</v>
      </c>
      <c r="G7" s="60">
        <v>170</v>
      </c>
      <c r="H7" s="186">
        <v>6.25E-2</v>
      </c>
      <c r="I7" s="88">
        <f t="shared" si="2"/>
        <v>5</v>
      </c>
      <c r="J7" s="59">
        <v>24.810000000000002</v>
      </c>
      <c r="K7" s="60">
        <v>105</v>
      </c>
      <c r="L7" s="186"/>
      <c r="M7" s="88">
        <f t="shared" si="3"/>
        <v>5</v>
      </c>
      <c r="N7" s="59">
        <v>16.88</v>
      </c>
      <c r="O7" s="60">
        <v>30</v>
      </c>
      <c r="P7" s="186"/>
      <c r="Q7" s="88">
        <f t="shared" si="4"/>
        <v>5</v>
      </c>
      <c r="R7" s="59">
        <v>16.23</v>
      </c>
      <c r="S7" s="60">
        <v>338</v>
      </c>
      <c r="T7" s="186"/>
      <c r="U7" s="88">
        <f t="shared" si="5"/>
        <v>5</v>
      </c>
      <c r="V7" s="59">
        <v>10.1</v>
      </c>
      <c r="W7" s="60">
        <v>306</v>
      </c>
      <c r="X7" s="186">
        <v>2.2222222222222223E-2</v>
      </c>
      <c r="Y7" s="88">
        <f t="shared" si="6"/>
        <v>5</v>
      </c>
      <c r="Z7" s="59">
        <v>21.5</v>
      </c>
      <c r="AA7" s="60">
        <v>40</v>
      </c>
      <c r="AB7" s="186"/>
      <c r="AC7" s="88">
        <f t="shared" si="7"/>
        <v>5</v>
      </c>
      <c r="AD7" s="59">
        <v>51.879999999999995</v>
      </c>
      <c r="AE7" s="60">
        <v>435</v>
      </c>
      <c r="AF7" s="186"/>
      <c r="AG7" s="88">
        <f t="shared" si="8"/>
        <v>5</v>
      </c>
      <c r="AH7" s="59">
        <v>10.130000000000001</v>
      </c>
      <c r="AI7" s="60">
        <v>10</v>
      </c>
      <c r="AJ7" s="186"/>
      <c r="AK7" s="88">
        <f t="shared" si="9"/>
        <v>5</v>
      </c>
      <c r="AL7" s="59">
        <v>10.1</v>
      </c>
      <c r="AM7" s="60">
        <v>15</v>
      </c>
      <c r="AN7" s="186"/>
      <c r="AO7" s="88">
        <f t="shared" si="10"/>
        <v>5</v>
      </c>
      <c r="AP7" s="59">
        <v>11.24</v>
      </c>
      <c r="AQ7" s="60">
        <v>10</v>
      </c>
      <c r="AR7" s="186">
        <v>1.0416666666666666E-2</v>
      </c>
      <c r="AS7" s="88">
        <f t="shared" si="11"/>
        <v>5</v>
      </c>
      <c r="AT7" s="59">
        <v>7.52</v>
      </c>
      <c r="AU7" s="60">
        <v>28</v>
      </c>
      <c r="AV7" s="186"/>
      <c r="AW7" s="73"/>
    </row>
    <row r="8" spans="1:49" s="54" customFormat="1" ht="11.25" x14ac:dyDescent="0.2">
      <c r="A8" s="86">
        <f t="shared" si="0"/>
        <v>6</v>
      </c>
      <c r="B8" s="59">
        <v>20.67</v>
      </c>
      <c r="C8" s="60">
        <v>45</v>
      </c>
      <c r="D8" s="186"/>
      <c r="E8" s="88">
        <f t="shared" si="1"/>
        <v>6</v>
      </c>
      <c r="F8" s="59">
        <v>13.64</v>
      </c>
      <c r="G8" s="60">
        <v>40</v>
      </c>
      <c r="H8" s="186"/>
      <c r="I8" s="88">
        <f t="shared" si="2"/>
        <v>6</v>
      </c>
      <c r="J8" s="59"/>
      <c r="K8" s="60"/>
      <c r="L8" s="186"/>
      <c r="M8" s="88">
        <f t="shared" si="3"/>
        <v>6</v>
      </c>
      <c r="N8" s="59">
        <v>13.75</v>
      </c>
      <c r="O8" s="60">
        <v>140</v>
      </c>
      <c r="P8" s="186"/>
      <c r="Q8" s="88">
        <f t="shared" si="4"/>
        <v>6</v>
      </c>
      <c r="R8" s="59">
        <v>65.3</v>
      </c>
      <c r="S8" s="60">
        <v>577</v>
      </c>
      <c r="T8" s="186"/>
      <c r="U8" s="88">
        <f t="shared" si="5"/>
        <v>6</v>
      </c>
      <c r="V8" s="59">
        <v>5.13</v>
      </c>
      <c r="W8" s="60">
        <v>3</v>
      </c>
      <c r="X8" s="186"/>
      <c r="Y8" s="88">
        <f t="shared" si="6"/>
        <v>6</v>
      </c>
      <c r="Z8" s="59">
        <v>22.73</v>
      </c>
      <c r="AA8" s="60">
        <v>172</v>
      </c>
      <c r="AB8" s="186"/>
      <c r="AC8" s="88">
        <f t="shared" si="7"/>
        <v>6</v>
      </c>
      <c r="AD8" s="59">
        <v>63.9</v>
      </c>
      <c r="AE8" s="60">
        <v>1075</v>
      </c>
      <c r="AF8" s="186">
        <v>2.7777777777777776E-2</v>
      </c>
      <c r="AG8" s="88">
        <f t="shared" si="8"/>
        <v>6</v>
      </c>
      <c r="AH8" s="59">
        <v>12.24</v>
      </c>
      <c r="AI8" s="60">
        <v>25</v>
      </c>
      <c r="AJ8" s="186"/>
      <c r="AK8" s="88">
        <f t="shared" si="9"/>
        <v>6</v>
      </c>
      <c r="AL8" s="59">
        <v>13.81</v>
      </c>
      <c r="AM8" s="60">
        <v>60</v>
      </c>
      <c r="AN8" s="186">
        <v>1.3888888888888888E-2</v>
      </c>
      <c r="AO8" s="88">
        <f t="shared" si="10"/>
        <v>6</v>
      </c>
      <c r="AP8" s="59">
        <v>36.680000000000007</v>
      </c>
      <c r="AQ8" s="60">
        <v>220</v>
      </c>
      <c r="AR8" s="186"/>
      <c r="AS8" s="88">
        <f t="shared" si="11"/>
        <v>6</v>
      </c>
      <c r="AT8" s="59">
        <v>7.6</v>
      </c>
      <c r="AU8" s="60">
        <v>10</v>
      </c>
      <c r="AV8" s="186"/>
      <c r="AW8" s="73"/>
    </row>
    <row r="9" spans="1:49" s="54" customFormat="1" ht="11.25" x14ac:dyDescent="0.2">
      <c r="A9" s="86">
        <f t="shared" si="0"/>
        <v>7</v>
      </c>
      <c r="B9" s="59"/>
      <c r="C9" s="60"/>
      <c r="D9" s="186"/>
      <c r="E9" s="88">
        <f t="shared" si="1"/>
        <v>7</v>
      </c>
      <c r="F9" s="59">
        <v>12.8</v>
      </c>
      <c r="G9" s="60">
        <v>67</v>
      </c>
      <c r="H9" s="186"/>
      <c r="I9" s="88">
        <f t="shared" si="2"/>
        <v>7</v>
      </c>
      <c r="J9" s="59">
        <v>10.5</v>
      </c>
      <c r="K9" s="60">
        <v>30</v>
      </c>
      <c r="L9" s="186"/>
      <c r="M9" s="88">
        <f t="shared" si="3"/>
        <v>7</v>
      </c>
      <c r="N9" s="59">
        <v>16.23</v>
      </c>
      <c r="O9" s="60">
        <v>338</v>
      </c>
      <c r="P9" s="186"/>
      <c r="Q9" s="88">
        <f t="shared" si="4"/>
        <v>7</v>
      </c>
      <c r="R9" s="59">
        <v>14.91</v>
      </c>
      <c r="S9" s="60">
        <v>80</v>
      </c>
      <c r="T9" s="186">
        <v>1.0416666666666666E-2</v>
      </c>
      <c r="U9" s="88">
        <f t="shared" si="5"/>
        <v>7</v>
      </c>
      <c r="V9" s="59">
        <v>13.34</v>
      </c>
      <c r="W9" s="60">
        <v>30</v>
      </c>
      <c r="X9" s="186">
        <v>2.2222222222222223E-2</v>
      </c>
      <c r="Y9" s="88">
        <f t="shared" si="6"/>
        <v>7</v>
      </c>
      <c r="Z9" s="59">
        <v>22</v>
      </c>
      <c r="AA9" s="60">
        <v>35</v>
      </c>
      <c r="AB9" s="186"/>
      <c r="AC9" s="88">
        <f t="shared" si="7"/>
        <v>7</v>
      </c>
      <c r="AD9" s="59">
        <v>11</v>
      </c>
      <c r="AE9" s="60">
        <v>50</v>
      </c>
      <c r="AF9" s="186"/>
      <c r="AG9" s="88">
        <f t="shared" si="8"/>
        <v>7</v>
      </c>
      <c r="AH9" s="59">
        <v>12.87</v>
      </c>
      <c r="AI9" s="60">
        <v>70</v>
      </c>
      <c r="AJ9" s="186"/>
      <c r="AK9" s="88">
        <f t="shared" si="9"/>
        <v>7</v>
      </c>
      <c r="AL9" s="59">
        <v>44.260000000000005</v>
      </c>
      <c r="AM9" s="60">
        <v>465</v>
      </c>
      <c r="AN9" s="186"/>
      <c r="AO9" s="88">
        <f t="shared" si="10"/>
        <v>7</v>
      </c>
      <c r="AP9" s="59">
        <v>10</v>
      </c>
      <c r="AQ9" s="60">
        <v>30</v>
      </c>
      <c r="AR9" s="186"/>
      <c r="AS9" s="88">
        <f t="shared" si="11"/>
        <v>7</v>
      </c>
      <c r="AT9" s="59">
        <v>21.3</v>
      </c>
      <c r="AU9" s="60">
        <v>280</v>
      </c>
      <c r="AV9" s="186"/>
      <c r="AW9" s="73"/>
    </row>
    <row r="10" spans="1:49" s="54" customFormat="1" ht="11.25" x14ac:dyDescent="0.2">
      <c r="A10" s="86">
        <f t="shared" si="0"/>
        <v>8</v>
      </c>
      <c r="B10" s="59"/>
      <c r="C10" s="60"/>
      <c r="D10" s="186"/>
      <c r="E10" s="88">
        <f t="shared" si="1"/>
        <v>8</v>
      </c>
      <c r="F10" s="59">
        <v>17.29</v>
      </c>
      <c r="G10" s="60">
        <v>100</v>
      </c>
      <c r="H10" s="186"/>
      <c r="I10" s="88">
        <f t="shared" si="2"/>
        <v>8</v>
      </c>
      <c r="J10" s="59"/>
      <c r="K10" s="60"/>
      <c r="L10" s="186"/>
      <c r="M10" s="88">
        <f t="shared" si="3"/>
        <v>8</v>
      </c>
      <c r="N10" s="59">
        <v>24.66</v>
      </c>
      <c r="O10" s="60">
        <v>25</v>
      </c>
      <c r="P10" s="186"/>
      <c r="Q10" s="88">
        <f t="shared" si="4"/>
        <v>8</v>
      </c>
      <c r="R10" s="59">
        <v>10.050000000000001</v>
      </c>
      <c r="S10" s="60">
        <v>45</v>
      </c>
      <c r="T10" s="186"/>
      <c r="U10" s="88">
        <f t="shared" si="5"/>
        <v>8</v>
      </c>
      <c r="V10" s="59">
        <v>10.66</v>
      </c>
      <c r="W10" s="60">
        <v>10</v>
      </c>
      <c r="X10" s="186"/>
      <c r="Y10" s="88">
        <f t="shared" si="6"/>
        <v>8</v>
      </c>
      <c r="Z10" s="59">
        <v>54.36999999999999</v>
      </c>
      <c r="AA10" s="60">
        <v>600</v>
      </c>
      <c r="AB10" s="186"/>
      <c r="AC10" s="88">
        <f t="shared" si="7"/>
        <v>8</v>
      </c>
      <c r="AD10" s="59">
        <v>12.81</v>
      </c>
      <c r="AE10" s="60">
        <v>40</v>
      </c>
      <c r="AF10" s="186"/>
      <c r="AG10" s="88">
        <f t="shared" si="8"/>
        <v>8</v>
      </c>
      <c r="AH10" s="59">
        <v>14.63</v>
      </c>
      <c r="AI10" s="54">
        <v>30</v>
      </c>
      <c r="AJ10" s="186"/>
      <c r="AK10" s="88">
        <f t="shared" si="9"/>
        <v>8</v>
      </c>
      <c r="AL10" s="59">
        <v>52.48</v>
      </c>
      <c r="AM10" s="60">
        <v>85</v>
      </c>
      <c r="AN10" s="186"/>
      <c r="AO10" s="88">
        <f t="shared" si="10"/>
        <v>8</v>
      </c>
      <c r="AP10" s="59">
        <v>22.42</v>
      </c>
      <c r="AQ10" s="60">
        <v>40</v>
      </c>
      <c r="AR10" s="186"/>
      <c r="AS10" s="88">
        <f t="shared" si="11"/>
        <v>8</v>
      </c>
      <c r="AT10" s="59">
        <v>11.75</v>
      </c>
      <c r="AU10" s="60">
        <v>40</v>
      </c>
      <c r="AV10" s="186"/>
      <c r="AW10" s="73"/>
    </row>
    <row r="11" spans="1:49" s="54" customFormat="1" ht="11.25" x14ac:dyDescent="0.2">
      <c r="A11" s="86">
        <f t="shared" si="0"/>
        <v>9</v>
      </c>
      <c r="B11" s="59"/>
      <c r="C11" s="60"/>
      <c r="D11" s="186"/>
      <c r="E11" s="88">
        <f t="shared" si="1"/>
        <v>9</v>
      </c>
      <c r="F11" s="59">
        <v>20.16</v>
      </c>
      <c r="G11" s="60">
        <v>30</v>
      </c>
      <c r="H11" s="186"/>
      <c r="I11" s="88">
        <f t="shared" si="2"/>
        <v>9</v>
      </c>
      <c r="J11" s="59">
        <v>17.82</v>
      </c>
      <c r="K11" s="60">
        <v>20</v>
      </c>
      <c r="L11" s="186"/>
      <c r="M11" s="88">
        <f t="shared" si="3"/>
        <v>9</v>
      </c>
      <c r="N11" s="59">
        <v>21.05</v>
      </c>
      <c r="O11" s="60">
        <v>215</v>
      </c>
      <c r="P11" s="186">
        <v>1.7361111111111112E-2</v>
      </c>
      <c r="Q11" s="88">
        <f t="shared" si="4"/>
        <v>9</v>
      </c>
      <c r="R11" s="59">
        <v>11.08</v>
      </c>
      <c r="S11" s="60">
        <v>50</v>
      </c>
      <c r="T11" s="186"/>
      <c r="U11" s="88">
        <f t="shared" si="5"/>
        <v>9</v>
      </c>
      <c r="V11" s="59">
        <v>17.96</v>
      </c>
      <c r="W11" s="60">
        <v>60</v>
      </c>
      <c r="X11" s="186">
        <v>2.4305555555555556E-2</v>
      </c>
      <c r="Y11" s="88">
        <f t="shared" si="6"/>
        <v>9</v>
      </c>
      <c r="Z11" s="59">
        <v>26.65</v>
      </c>
      <c r="AA11" s="60">
        <v>220</v>
      </c>
      <c r="AB11" s="186"/>
      <c r="AC11" s="88">
        <f t="shared" si="7"/>
        <v>9</v>
      </c>
      <c r="AD11" s="59">
        <v>12.07</v>
      </c>
      <c r="AE11" s="60">
        <v>45</v>
      </c>
      <c r="AF11" s="186"/>
      <c r="AG11" s="88">
        <f t="shared" si="8"/>
        <v>9</v>
      </c>
      <c r="AH11" s="59">
        <v>30</v>
      </c>
      <c r="AI11" s="60">
        <v>28</v>
      </c>
      <c r="AJ11" s="186"/>
      <c r="AK11" s="88">
        <f t="shared" si="9"/>
        <v>9</v>
      </c>
      <c r="AL11" s="59">
        <v>11.11</v>
      </c>
      <c r="AM11" s="60">
        <v>25</v>
      </c>
      <c r="AN11" s="186"/>
      <c r="AO11" s="88">
        <f t="shared" si="10"/>
        <v>9</v>
      </c>
      <c r="AP11" s="59">
        <v>10.48</v>
      </c>
      <c r="AQ11" s="60">
        <v>30</v>
      </c>
      <c r="AR11" s="186"/>
      <c r="AS11" s="88">
        <f t="shared" si="11"/>
        <v>9</v>
      </c>
      <c r="AT11" s="59">
        <v>30.4</v>
      </c>
      <c r="AU11" s="60">
        <v>50</v>
      </c>
      <c r="AV11" s="186"/>
      <c r="AW11" s="73"/>
    </row>
    <row r="12" spans="1:49" s="54" customFormat="1" ht="11.25" x14ac:dyDescent="0.2">
      <c r="A12" s="86">
        <f t="shared" si="0"/>
        <v>10</v>
      </c>
      <c r="B12" s="59"/>
      <c r="C12" s="60"/>
      <c r="D12" s="186"/>
      <c r="E12" s="88">
        <f t="shared" si="1"/>
        <v>10</v>
      </c>
      <c r="F12" s="59">
        <v>10.11</v>
      </c>
      <c r="G12" s="60">
        <v>20</v>
      </c>
      <c r="H12" s="186"/>
      <c r="I12" s="88">
        <f t="shared" si="2"/>
        <v>10</v>
      </c>
      <c r="J12" s="59">
        <v>14.089999999999998</v>
      </c>
      <c r="K12" s="60">
        <v>347</v>
      </c>
      <c r="L12" s="186"/>
      <c r="M12" s="88">
        <f t="shared" si="3"/>
        <v>10</v>
      </c>
      <c r="N12" s="59">
        <v>14.219999999999999</v>
      </c>
      <c r="O12" s="60">
        <v>90</v>
      </c>
      <c r="P12" s="186"/>
      <c r="Q12" s="88">
        <f t="shared" si="4"/>
        <v>10</v>
      </c>
      <c r="R12" s="59">
        <v>29.11</v>
      </c>
      <c r="S12" s="60">
        <v>170</v>
      </c>
      <c r="T12" s="186"/>
      <c r="U12" s="88">
        <f t="shared" si="5"/>
        <v>10</v>
      </c>
      <c r="V12" s="59">
        <v>38.730000000000004</v>
      </c>
      <c r="W12" s="60">
        <v>490</v>
      </c>
      <c r="X12" s="186"/>
      <c r="Y12" s="88">
        <f t="shared" si="6"/>
        <v>10</v>
      </c>
      <c r="Z12" s="59">
        <v>10.039999999999999</v>
      </c>
      <c r="AA12" s="60">
        <v>35</v>
      </c>
      <c r="AB12" s="186"/>
      <c r="AC12" s="88">
        <f t="shared" si="7"/>
        <v>10</v>
      </c>
      <c r="AD12" s="59">
        <v>5.2</v>
      </c>
      <c r="AE12" s="60">
        <v>20</v>
      </c>
      <c r="AF12" s="186"/>
      <c r="AG12" s="88">
        <f t="shared" si="8"/>
        <v>10</v>
      </c>
      <c r="AH12" s="59">
        <v>15.7</v>
      </c>
      <c r="AI12" s="54">
        <v>90</v>
      </c>
      <c r="AJ12" s="186">
        <v>1.3888888888888888E-2</v>
      </c>
      <c r="AK12" s="88">
        <f t="shared" si="9"/>
        <v>10</v>
      </c>
      <c r="AL12" s="59">
        <v>11</v>
      </c>
      <c r="AM12" s="60">
        <v>30</v>
      </c>
      <c r="AN12" s="186"/>
      <c r="AO12" s="88">
        <f t="shared" si="10"/>
        <v>10</v>
      </c>
      <c r="AP12" s="59">
        <v>14.53</v>
      </c>
      <c r="AQ12" s="60">
        <v>15</v>
      </c>
      <c r="AR12" s="186"/>
      <c r="AS12" s="88">
        <f t="shared" si="11"/>
        <v>10</v>
      </c>
      <c r="AT12" s="59">
        <v>10.45</v>
      </c>
      <c r="AU12" s="60">
        <v>6</v>
      </c>
      <c r="AV12" s="186"/>
      <c r="AW12" s="73"/>
    </row>
    <row r="13" spans="1:49" s="54" customFormat="1" ht="11.25" x14ac:dyDescent="0.2">
      <c r="A13" s="86">
        <f t="shared" si="0"/>
        <v>11</v>
      </c>
      <c r="B13" s="59"/>
      <c r="C13" s="60"/>
      <c r="D13" s="186"/>
      <c r="E13" s="88">
        <f t="shared" si="1"/>
        <v>11</v>
      </c>
      <c r="F13" s="59">
        <v>20.329999999999998</v>
      </c>
      <c r="G13" s="60">
        <v>333</v>
      </c>
      <c r="H13" s="186">
        <v>3.125E-2</v>
      </c>
      <c r="I13" s="88">
        <f t="shared" si="2"/>
        <v>11</v>
      </c>
      <c r="J13" s="59">
        <v>68.069999999999993</v>
      </c>
      <c r="K13" s="60">
        <v>213</v>
      </c>
      <c r="L13" s="186"/>
      <c r="M13" s="88">
        <f t="shared" si="3"/>
        <v>11</v>
      </c>
      <c r="N13" s="59">
        <v>13.75</v>
      </c>
      <c r="O13" s="60">
        <v>140</v>
      </c>
      <c r="P13" s="186"/>
      <c r="Q13" s="88">
        <f t="shared" si="4"/>
        <v>11</v>
      </c>
      <c r="R13" s="59">
        <v>11.35</v>
      </c>
      <c r="S13" s="60">
        <v>35</v>
      </c>
      <c r="T13" s="186">
        <v>1.0416666666666666E-2</v>
      </c>
      <c r="U13" s="88">
        <f t="shared" si="5"/>
        <v>11</v>
      </c>
      <c r="V13" s="59">
        <v>91</v>
      </c>
      <c r="W13" s="60">
        <v>1065</v>
      </c>
      <c r="X13" s="186"/>
      <c r="Y13" s="88">
        <f t="shared" si="6"/>
        <v>11</v>
      </c>
      <c r="Z13" s="59">
        <v>10.57</v>
      </c>
      <c r="AA13" s="60">
        <v>25</v>
      </c>
      <c r="AB13" s="186"/>
      <c r="AC13" s="88">
        <f t="shared" si="7"/>
        <v>11</v>
      </c>
      <c r="AD13" s="59">
        <v>5</v>
      </c>
      <c r="AE13" s="60">
        <v>3</v>
      </c>
      <c r="AF13" s="186">
        <v>2.4305555555555556E-2</v>
      </c>
      <c r="AG13" s="88">
        <f t="shared" si="8"/>
        <v>11</v>
      </c>
      <c r="AH13" s="59">
        <v>11.5</v>
      </c>
      <c r="AI13" s="60">
        <v>15</v>
      </c>
      <c r="AJ13" s="186"/>
      <c r="AK13" s="88">
        <f t="shared" si="9"/>
        <v>11</v>
      </c>
      <c r="AL13" s="59">
        <v>14.219999999999999</v>
      </c>
      <c r="AM13" s="60">
        <v>90</v>
      </c>
      <c r="AN13" s="186"/>
      <c r="AO13" s="88">
        <f t="shared" si="10"/>
        <v>11</v>
      </c>
      <c r="AP13" s="59">
        <v>28.560000000000002</v>
      </c>
      <c r="AQ13" s="60">
        <v>396</v>
      </c>
      <c r="AR13" s="186"/>
      <c r="AS13" s="88">
        <f t="shared" si="11"/>
        <v>11</v>
      </c>
      <c r="AT13" s="59">
        <v>6</v>
      </c>
      <c r="AU13" s="60">
        <v>3</v>
      </c>
      <c r="AV13" s="186">
        <v>4.1666666666666664E-2</v>
      </c>
      <c r="AW13" s="73"/>
    </row>
    <row r="14" spans="1:49" s="54" customFormat="1" ht="11.25" x14ac:dyDescent="0.2">
      <c r="A14" s="86">
        <f t="shared" si="0"/>
        <v>12</v>
      </c>
      <c r="B14" s="59"/>
      <c r="C14" s="60"/>
      <c r="D14" s="186"/>
      <c r="E14" s="88">
        <f t="shared" si="1"/>
        <v>12</v>
      </c>
      <c r="F14" s="59">
        <v>61.1</v>
      </c>
      <c r="G14" s="60">
        <v>540</v>
      </c>
      <c r="H14" s="186"/>
      <c r="I14" s="88">
        <f t="shared" si="2"/>
        <v>12</v>
      </c>
      <c r="J14" s="59">
        <v>39.249999999999993</v>
      </c>
      <c r="K14" s="60">
        <v>803</v>
      </c>
      <c r="L14" s="186"/>
      <c r="M14" s="88">
        <f t="shared" si="3"/>
        <v>12</v>
      </c>
      <c r="N14" s="59"/>
      <c r="O14" s="60"/>
      <c r="P14" s="186">
        <v>1.0416666666666666E-2</v>
      </c>
      <c r="Q14" s="88">
        <f t="shared" si="4"/>
        <v>12</v>
      </c>
      <c r="R14" s="59">
        <v>13.32</v>
      </c>
      <c r="S14" s="60">
        <v>80</v>
      </c>
      <c r="T14" s="186"/>
      <c r="U14" s="88">
        <f t="shared" si="5"/>
        <v>12</v>
      </c>
      <c r="V14" s="59">
        <v>10.19</v>
      </c>
      <c r="W14" s="60">
        <v>25</v>
      </c>
      <c r="X14" s="186"/>
      <c r="Y14" s="88">
        <f t="shared" si="6"/>
        <v>12</v>
      </c>
      <c r="Z14" s="59">
        <v>5.7</v>
      </c>
      <c r="AA14" s="60">
        <v>3</v>
      </c>
      <c r="AB14" s="186"/>
      <c r="AC14" s="88">
        <f t="shared" si="7"/>
        <v>12</v>
      </c>
      <c r="AD14" s="59">
        <v>20.09</v>
      </c>
      <c r="AE14" s="91">
        <v>70</v>
      </c>
      <c r="AF14" s="186"/>
      <c r="AG14" s="88">
        <f t="shared" si="8"/>
        <v>12</v>
      </c>
      <c r="AH14" s="59"/>
      <c r="AI14" s="60"/>
      <c r="AJ14" s="186"/>
      <c r="AK14" s="88">
        <f t="shared" si="9"/>
        <v>12</v>
      </c>
      <c r="AL14" s="59">
        <v>20.399999999999999</v>
      </c>
      <c r="AM14" s="60">
        <v>30</v>
      </c>
      <c r="AN14" s="186"/>
      <c r="AO14" s="88">
        <f t="shared" si="10"/>
        <v>12</v>
      </c>
      <c r="AP14" s="59">
        <v>14.19</v>
      </c>
      <c r="AQ14" s="60">
        <v>15</v>
      </c>
      <c r="AR14" s="186">
        <v>4.8611111111111112E-2</v>
      </c>
      <c r="AS14" s="88">
        <f t="shared" si="11"/>
        <v>12</v>
      </c>
      <c r="AT14" s="59"/>
      <c r="AU14" s="60"/>
      <c r="AV14" s="186"/>
      <c r="AW14" s="73"/>
    </row>
    <row r="15" spans="1:49" s="54" customFormat="1" ht="11.25" x14ac:dyDescent="0.2">
      <c r="A15" s="86">
        <f t="shared" si="0"/>
        <v>13</v>
      </c>
      <c r="B15" s="59"/>
      <c r="C15" s="60"/>
      <c r="D15" s="186"/>
      <c r="E15" s="88">
        <f t="shared" si="1"/>
        <v>13</v>
      </c>
      <c r="F15" s="59">
        <v>15.4</v>
      </c>
      <c r="G15" s="60">
        <v>40</v>
      </c>
      <c r="H15" s="186"/>
      <c r="I15" s="88">
        <f t="shared" si="2"/>
        <v>13</v>
      </c>
      <c r="J15" s="59">
        <v>11.25</v>
      </c>
      <c r="K15" s="60">
        <v>100</v>
      </c>
      <c r="L15" s="186"/>
      <c r="M15" s="88">
        <f t="shared" si="3"/>
        <v>13</v>
      </c>
      <c r="N15" s="59">
        <v>10.84</v>
      </c>
      <c r="O15" s="60">
        <v>15</v>
      </c>
      <c r="P15" s="186"/>
      <c r="Q15" s="88">
        <f t="shared" si="4"/>
        <v>13</v>
      </c>
      <c r="R15" s="59">
        <v>66.210000000000008</v>
      </c>
      <c r="S15" s="60">
        <v>750</v>
      </c>
      <c r="T15" s="186"/>
      <c r="U15" s="88">
        <f t="shared" si="5"/>
        <v>13</v>
      </c>
      <c r="V15" s="59">
        <v>28.19</v>
      </c>
      <c r="W15" s="60">
        <v>185</v>
      </c>
      <c r="X15" s="186"/>
      <c r="Y15" s="88">
        <f t="shared" si="6"/>
        <v>13</v>
      </c>
      <c r="Z15" s="59">
        <v>37.79</v>
      </c>
      <c r="AA15" s="60">
        <v>65</v>
      </c>
      <c r="AB15" s="186"/>
      <c r="AC15" s="88">
        <f t="shared" si="7"/>
        <v>13</v>
      </c>
      <c r="AD15" s="59">
        <v>41.05</v>
      </c>
      <c r="AE15" s="60">
        <v>185</v>
      </c>
      <c r="AF15" s="186"/>
      <c r="AG15" s="88">
        <f t="shared" si="8"/>
        <v>13</v>
      </c>
      <c r="AH15" s="59">
        <v>10.17</v>
      </c>
      <c r="AI15" s="60">
        <v>15</v>
      </c>
      <c r="AJ15" s="186"/>
      <c r="AK15" s="88">
        <f t="shared" si="9"/>
        <v>13</v>
      </c>
      <c r="AL15" s="59">
        <v>12</v>
      </c>
      <c r="AM15" s="60">
        <v>30</v>
      </c>
      <c r="AN15" s="186"/>
      <c r="AO15" s="88">
        <f t="shared" si="10"/>
        <v>13</v>
      </c>
      <c r="AP15" s="59">
        <v>14.02</v>
      </c>
      <c r="AQ15" s="60">
        <v>55</v>
      </c>
      <c r="AR15" s="186"/>
      <c r="AS15" s="88">
        <f t="shared" si="11"/>
        <v>13</v>
      </c>
      <c r="AT15" s="59">
        <v>10.3</v>
      </c>
      <c r="AU15" s="60">
        <v>50</v>
      </c>
      <c r="AV15" s="186"/>
      <c r="AW15" s="73"/>
    </row>
    <row r="16" spans="1:49" s="54" customFormat="1" ht="11.25" x14ac:dyDescent="0.2">
      <c r="A16" s="86">
        <f t="shared" si="0"/>
        <v>14</v>
      </c>
      <c r="B16" s="59"/>
      <c r="C16" s="60"/>
      <c r="D16" s="186"/>
      <c r="E16" s="88">
        <f t="shared" si="1"/>
        <v>14</v>
      </c>
      <c r="F16" s="59">
        <v>23</v>
      </c>
      <c r="G16" s="60">
        <v>120</v>
      </c>
      <c r="H16" s="186"/>
      <c r="I16" s="88">
        <f t="shared" si="2"/>
        <v>14</v>
      </c>
      <c r="J16" s="59">
        <v>40.69</v>
      </c>
      <c r="K16" s="60">
        <v>220</v>
      </c>
      <c r="L16" s="186"/>
      <c r="M16" s="88">
        <f t="shared" si="3"/>
        <v>14</v>
      </c>
      <c r="N16" s="59">
        <v>56.289999999999992</v>
      </c>
      <c r="O16" s="60">
        <v>839</v>
      </c>
      <c r="P16" s="186"/>
      <c r="Q16" s="88">
        <f t="shared" si="4"/>
        <v>14</v>
      </c>
      <c r="R16" s="59">
        <v>19.010000000000002</v>
      </c>
      <c r="S16" s="54">
        <v>110</v>
      </c>
      <c r="T16" s="186">
        <v>2.5694444444444447E-2</v>
      </c>
      <c r="U16" s="88">
        <f t="shared" si="5"/>
        <v>14</v>
      </c>
      <c r="V16" s="59">
        <v>10.33</v>
      </c>
      <c r="W16" s="60">
        <v>35</v>
      </c>
      <c r="X16" s="186"/>
      <c r="Y16" s="88">
        <f t="shared" si="6"/>
        <v>14</v>
      </c>
      <c r="Z16" s="59">
        <v>12</v>
      </c>
      <c r="AA16" s="60">
        <v>30</v>
      </c>
      <c r="AB16" s="186"/>
      <c r="AC16" s="88">
        <f t="shared" si="7"/>
        <v>14</v>
      </c>
      <c r="AD16" s="59">
        <v>11.79</v>
      </c>
      <c r="AE16" s="60">
        <v>20</v>
      </c>
      <c r="AF16" s="186"/>
      <c r="AG16" s="88">
        <f t="shared" si="8"/>
        <v>14</v>
      </c>
      <c r="AH16" s="59">
        <v>10.53</v>
      </c>
      <c r="AI16" s="60">
        <v>35</v>
      </c>
      <c r="AJ16" s="186"/>
      <c r="AK16" s="88">
        <f t="shared" si="9"/>
        <v>14</v>
      </c>
      <c r="AL16" s="59">
        <v>36.1</v>
      </c>
      <c r="AM16" s="60">
        <v>50</v>
      </c>
      <c r="AN16" s="186"/>
      <c r="AO16" s="88">
        <f t="shared" si="10"/>
        <v>14</v>
      </c>
      <c r="AP16" s="59">
        <v>7</v>
      </c>
      <c r="AQ16" s="60">
        <v>3</v>
      </c>
      <c r="AR16" s="186"/>
      <c r="AS16" s="88">
        <f t="shared" si="11"/>
        <v>14</v>
      </c>
      <c r="AT16" s="59"/>
      <c r="AU16" s="60"/>
      <c r="AV16" s="186"/>
      <c r="AW16" s="73"/>
    </row>
    <row r="17" spans="1:49" s="54" customFormat="1" ht="11.25" x14ac:dyDescent="0.2">
      <c r="A17" s="86">
        <f t="shared" si="0"/>
        <v>15</v>
      </c>
      <c r="B17" s="59">
        <v>10.8</v>
      </c>
      <c r="C17" s="60">
        <v>90</v>
      </c>
      <c r="D17" s="186"/>
      <c r="E17" s="88">
        <f t="shared" si="1"/>
        <v>15</v>
      </c>
      <c r="F17" s="59">
        <v>27.67</v>
      </c>
      <c r="G17" s="60">
        <v>263</v>
      </c>
      <c r="H17" s="186"/>
      <c r="I17" s="88">
        <f t="shared" si="2"/>
        <v>15</v>
      </c>
      <c r="J17" s="59">
        <v>5.09</v>
      </c>
      <c r="K17" s="60">
        <v>3</v>
      </c>
      <c r="L17" s="186"/>
      <c r="M17" s="88">
        <f t="shared" si="3"/>
        <v>15</v>
      </c>
      <c r="N17" s="59">
        <v>7</v>
      </c>
      <c r="O17" s="60">
        <v>10</v>
      </c>
      <c r="P17" s="186"/>
      <c r="Q17" s="88">
        <f t="shared" si="4"/>
        <v>15</v>
      </c>
      <c r="R17" s="59">
        <v>11.61</v>
      </c>
      <c r="S17" s="54">
        <v>40</v>
      </c>
      <c r="T17" s="186"/>
      <c r="U17" s="88">
        <f t="shared" si="5"/>
        <v>15</v>
      </c>
      <c r="V17" s="59">
        <v>10.31</v>
      </c>
      <c r="W17" s="60">
        <v>45</v>
      </c>
      <c r="X17" s="186"/>
      <c r="Y17" s="88">
        <f t="shared" si="6"/>
        <v>15</v>
      </c>
      <c r="Z17" s="59">
        <v>23.39</v>
      </c>
      <c r="AA17" s="60">
        <v>217</v>
      </c>
      <c r="AB17" s="186">
        <v>1.0416666666666666E-2</v>
      </c>
      <c r="AC17" s="88">
        <f t="shared" si="7"/>
        <v>15</v>
      </c>
      <c r="AD17" s="59">
        <v>53.08</v>
      </c>
      <c r="AE17" s="60">
        <v>580</v>
      </c>
      <c r="AF17" s="186"/>
      <c r="AG17" s="88">
        <f t="shared" si="8"/>
        <v>15</v>
      </c>
      <c r="AH17" s="59">
        <v>10</v>
      </c>
      <c r="AI17" s="60">
        <v>40</v>
      </c>
      <c r="AJ17" s="186"/>
      <c r="AK17" s="88">
        <f t="shared" si="9"/>
        <v>15</v>
      </c>
      <c r="AL17" s="59">
        <v>11</v>
      </c>
      <c r="AM17" s="60">
        <v>45</v>
      </c>
      <c r="AN17" s="186"/>
      <c r="AO17" s="88">
        <f t="shared" si="10"/>
        <v>15</v>
      </c>
      <c r="AP17" s="59">
        <v>11.6</v>
      </c>
      <c r="AQ17" s="60">
        <v>45</v>
      </c>
      <c r="AR17" s="186"/>
      <c r="AS17" s="88">
        <f t="shared" si="11"/>
        <v>15</v>
      </c>
      <c r="AT17" s="59">
        <v>10.16</v>
      </c>
      <c r="AU17" s="60">
        <v>45</v>
      </c>
      <c r="AV17" s="186"/>
      <c r="AW17" s="73"/>
    </row>
    <row r="18" spans="1:49" s="54" customFormat="1" ht="11.25" x14ac:dyDescent="0.2">
      <c r="A18" s="86">
        <f t="shared" si="0"/>
        <v>16</v>
      </c>
      <c r="B18" s="59">
        <v>11</v>
      </c>
      <c r="C18" s="60">
        <v>10</v>
      </c>
      <c r="D18" s="186"/>
      <c r="E18" s="88">
        <f t="shared" si="1"/>
        <v>16</v>
      </c>
      <c r="F18" s="59">
        <v>10.029999999999999</v>
      </c>
      <c r="G18" s="60">
        <v>75</v>
      </c>
      <c r="H18" s="186"/>
      <c r="I18" s="88">
        <f t="shared" si="2"/>
        <v>16</v>
      </c>
      <c r="J18" s="59">
        <v>11.4</v>
      </c>
      <c r="K18" s="60">
        <v>40</v>
      </c>
      <c r="L18" s="186"/>
      <c r="M18" s="88">
        <f t="shared" si="3"/>
        <v>16</v>
      </c>
      <c r="N18" s="59">
        <v>16</v>
      </c>
      <c r="O18" s="60">
        <v>40</v>
      </c>
      <c r="P18" s="186"/>
      <c r="Q18" s="88">
        <f t="shared" si="4"/>
        <v>16</v>
      </c>
      <c r="R18" s="59">
        <v>13.42</v>
      </c>
      <c r="S18" s="60">
        <v>29</v>
      </c>
      <c r="T18" s="186"/>
      <c r="U18" s="88">
        <f t="shared" si="5"/>
        <v>16</v>
      </c>
      <c r="V18" s="59">
        <v>20.149999999999999</v>
      </c>
      <c r="W18" s="60">
        <v>70</v>
      </c>
      <c r="X18" s="186"/>
      <c r="Y18" s="88">
        <f t="shared" si="6"/>
        <v>16</v>
      </c>
      <c r="Z18" s="59">
        <v>63.59</v>
      </c>
      <c r="AA18" s="60">
        <v>420</v>
      </c>
      <c r="AB18" s="186"/>
      <c r="AC18" s="88">
        <f t="shared" si="7"/>
        <v>16</v>
      </c>
      <c r="AD18" s="59">
        <v>13.24</v>
      </c>
      <c r="AE18" s="60">
        <v>195</v>
      </c>
      <c r="AF18" s="186"/>
      <c r="AG18" s="88">
        <f t="shared" si="8"/>
        <v>16</v>
      </c>
      <c r="AH18" s="59">
        <v>33.03</v>
      </c>
      <c r="AI18" s="60">
        <v>93</v>
      </c>
      <c r="AJ18" s="186"/>
      <c r="AK18" s="88">
        <f t="shared" si="9"/>
        <v>16</v>
      </c>
      <c r="AL18" s="59">
        <v>21.26</v>
      </c>
      <c r="AM18" s="60">
        <v>30</v>
      </c>
      <c r="AN18" s="186"/>
      <c r="AO18" s="88">
        <f t="shared" si="10"/>
        <v>16</v>
      </c>
      <c r="AP18" s="59">
        <v>10.18</v>
      </c>
      <c r="AQ18" s="60">
        <v>30</v>
      </c>
      <c r="AR18" s="186"/>
      <c r="AS18" s="88">
        <f t="shared" si="11"/>
        <v>16</v>
      </c>
      <c r="AT18" s="59">
        <v>16.309999999999999</v>
      </c>
      <c r="AU18" s="60">
        <v>70</v>
      </c>
      <c r="AV18" s="186">
        <v>1.0416666666666666E-2</v>
      </c>
      <c r="AW18" s="73"/>
    </row>
    <row r="19" spans="1:49" s="54" customFormat="1" ht="11.25" x14ac:dyDescent="0.2">
      <c r="A19" s="86">
        <f t="shared" si="0"/>
        <v>17</v>
      </c>
      <c r="B19" s="59">
        <v>10.050000000000001</v>
      </c>
      <c r="C19" s="60">
        <v>45</v>
      </c>
      <c r="D19" s="186"/>
      <c r="E19" s="88">
        <f t="shared" si="1"/>
        <v>17</v>
      </c>
      <c r="F19" s="59"/>
      <c r="G19" s="60"/>
      <c r="H19" s="186"/>
      <c r="I19" s="88">
        <f t="shared" si="2"/>
        <v>17</v>
      </c>
      <c r="J19" s="59">
        <v>10.93</v>
      </c>
      <c r="K19" s="60">
        <v>15</v>
      </c>
      <c r="L19" s="186"/>
      <c r="M19" s="88">
        <f t="shared" si="3"/>
        <v>17</v>
      </c>
      <c r="N19" s="59">
        <v>11.12</v>
      </c>
      <c r="O19" s="60">
        <v>6</v>
      </c>
      <c r="P19" s="186"/>
      <c r="Q19" s="88">
        <f t="shared" si="4"/>
        <v>17</v>
      </c>
      <c r="R19" s="59">
        <v>17.8</v>
      </c>
      <c r="S19" s="60">
        <v>367</v>
      </c>
      <c r="T19" s="186"/>
      <c r="U19" s="88">
        <f t="shared" si="5"/>
        <v>17</v>
      </c>
      <c r="V19" s="59">
        <v>14.64</v>
      </c>
      <c r="W19" s="60">
        <v>55</v>
      </c>
      <c r="X19" s="186"/>
      <c r="Y19" s="88">
        <f t="shared" si="6"/>
        <v>17</v>
      </c>
      <c r="Z19" s="59">
        <v>13.72</v>
      </c>
      <c r="AA19" s="60">
        <v>55</v>
      </c>
      <c r="AB19" s="186"/>
      <c r="AC19" s="88">
        <f t="shared" si="7"/>
        <v>17</v>
      </c>
      <c r="AD19" s="59">
        <v>14.5</v>
      </c>
      <c r="AE19" s="60">
        <v>65</v>
      </c>
      <c r="AF19" s="186"/>
      <c r="AG19" s="88">
        <f t="shared" si="8"/>
        <v>17</v>
      </c>
      <c r="AH19" s="59">
        <v>30.6</v>
      </c>
      <c r="AI19" s="60">
        <v>192</v>
      </c>
      <c r="AJ19" s="186">
        <v>1.0416666666666666E-2</v>
      </c>
      <c r="AK19" s="88">
        <f t="shared" si="9"/>
        <v>17</v>
      </c>
      <c r="AL19" s="59">
        <v>10.18</v>
      </c>
      <c r="AM19" s="60">
        <v>30</v>
      </c>
      <c r="AN19" s="186"/>
      <c r="AO19" s="88">
        <f t="shared" si="10"/>
        <v>17</v>
      </c>
      <c r="AP19" s="59">
        <v>16</v>
      </c>
      <c r="AQ19" s="60">
        <v>55</v>
      </c>
      <c r="AR19" s="186"/>
      <c r="AS19" s="88">
        <f t="shared" si="11"/>
        <v>17</v>
      </c>
      <c r="AT19" s="59">
        <v>22.41</v>
      </c>
      <c r="AU19" s="60">
        <v>98</v>
      </c>
      <c r="AV19" s="186"/>
      <c r="AW19" s="73"/>
    </row>
    <row r="20" spans="1:49" s="54" customFormat="1" ht="11.25" x14ac:dyDescent="0.2">
      <c r="A20" s="86">
        <f t="shared" si="0"/>
        <v>18</v>
      </c>
      <c r="B20" s="59">
        <v>10.1</v>
      </c>
      <c r="C20" s="60">
        <v>70</v>
      </c>
      <c r="D20" s="186"/>
      <c r="E20" s="88">
        <f t="shared" si="1"/>
        <v>18</v>
      </c>
      <c r="F20" s="59">
        <v>30.76</v>
      </c>
      <c r="G20" s="60">
        <v>28</v>
      </c>
      <c r="H20" s="186"/>
      <c r="I20" s="88">
        <f t="shared" si="2"/>
        <v>18</v>
      </c>
      <c r="J20" s="59">
        <v>10.25</v>
      </c>
      <c r="K20" s="60">
        <v>25</v>
      </c>
      <c r="L20" s="186">
        <v>1.7361111111111112E-2</v>
      </c>
      <c r="M20" s="88">
        <f t="shared" si="3"/>
        <v>18</v>
      </c>
      <c r="N20" s="59">
        <v>5</v>
      </c>
      <c r="O20" s="60">
        <v>3</v>
      </c>
      <c r="P20" s="186"/>
      <c r="Q20" s="88">
        <f t="shared" si="4"/>
        <v>18</v>
      </c>
      <c r="R20" s="59">
        <v>11.84</v>
      </c>
      <c r="S20" s="60">
        <v>18</v>
      </c>
      <c r="T20" s="186"/>
      <c r="U20" s="88">
        <f t="shared" si="5"/>
        <v>18</v>
      </c>
      <c r="V20" s="59">
        <v>39.5</v>
      </c>
      <c r="W20" s="60">
        <v>800</v>
      </c>
      <c r="X20" s="186"/>
      <c r="Y20" s="88">
        <f t="shared" si="6"/>
        <v>18</v>
      </c>
      <c r="Z20" s="59"/>
      <c r="AA20" s="60"/>
      <c r="AB20" s="186"/>
      <c r="AC20" s="88">
        <f t="shared" si="7"/>
        <v>18</v>
      </c>
      <c r="AD20" s="59">
        <v>15.68</v>
      </c>
      <c r="AE20" s="60">
        <v>40</v>
      </c>
      <c r="AF20" s="186"/>
      <c r="AG20" s="88">
        <f t="shared" si="8"/>
        <v>18</v>
      </c>
      <c r="AH20" s="59">
        <v>10.7</v>
      </c>
      <c r="AI20" s="60">
        <v>30</v>
      </c>
      <c r="AJ20" s="186"/>
      <c r="AK20" s="88">
        <f t="shared" si="9"/>
        <v>18</v>
      </c>
      <c r="AL20" s="59">
        <v>13.22</v>
      </c>
      <c r="AM20" s="60">
        <v>50</v>
      </c>
      <c r="AN20" s="186"/>
      <c r="AO20" s="88">
        <f t="shared" si="10"/>
        <v>18</v>
      </c>
      <c r="AP20" s="59">
        <v>61.3</v>
      </c>
      <c r="AQ20" s="60">
        <v>135</v>
      </c>
      <c r="AR20" s="186"/>
      <c r="AS20" s="88">
        <f t="shared" si="11"/>
        <v>18</v>
      </c>
      <c r="AT20" s="59">
        <v>10.01</v>
      </c>
      <c r="AU20" s="60">
        <v>20</v>
      </c>
      <c r="AV20" s="186"/>
      <c r="AW20" s="73"/>
    </row>
    <row r="21" spans="1:49" s="54" customFormat="1" ht="11.25" x14ac:dyDescent="0.2">
      <c r="A21" s="86">
        <f t="shared" si="0"/>
        <v>19</v>
      </c>
      <c r="B21" s="59">
        <v>11.08</v>
      </c>
      <c r="C21" s="60">
        <v>70</v>
      </c>
      <c r="D21" s="186"/>
      <c r="E21" s="88">
        <f t="shared" si="1"/>
        <v>19</v>
      </c>
      <c r="F21" s="59">
        <v>23.24</v>
      </c>
      <c r="G21" s="60">
        <v>93</v>
      </c>
      <c r="H21" s="186">
        <v>6.9444444444444434E-2</v>
      </c>
      <c r="I21" s="88">
        <f t="shared" si="2"/>
        <v>19</v>
      </c>
      <c r="J21" s="59">
        <v>50.08</v>
      </c>
      <c r="K21" s="60">
        <v>254</v>
      </c>
      <c r="L21" s="186"/>
      <c r="M21" s="88">
        <f t="shared" si="3"/>
        <v>19</v>
      </c>
      <c r="N21" s="59">
        <v>10.33</v>
      </c>
      <c r="O21" s="60">
        <v>18</v>
      </c>
      <c r="P21" s="186"/>
      <c r="Q21" s="88">
        <f t="shared" si="4"/>
        <v>19</v>
      </c>
      <c r="R21" s="59">
        <v>5.64</v>
      </c>
      <c r="S21" s="60">
        <v>3</v>
      </c>
      <c r="T21" s="186"/>
      <c r="U21" s="88">
        <f t="shared" si="5"/>
        <v>19</v>
      </c>
      <c r="V21" s="59">
        <v>62</v>
      </c>
      <c r="W21" s="60">
        <v>1180</v>
      </c>
      <c r="X21" s="186"/>
      <c r="Y21" s="88">
        <f t="shared" si="6"/>
        <v>19</v>
      </c>
      <c r="Z21" s="59">
        <v>11.11</v>
      </c>
      <c r="AA21" s="60">
        <v>20</v>
      </c>
      <c r="AB21" s="186"/>
      <c r="AC21" s="88">
        <f t="shared" si="7"/>
        <v>19</v>
      </c>
      <c r="AD21" s="59">
        <v>30.94</v>
      </c>
      <c r="AE21" s="60">
        <v>355</v>
      </c>
      <c r="AF21" s="186"/>
      <c r="AG21" s="88">
        <f t="shared" si="8"/>
        <v>19</v>
      </c>
      <c r="AH21" s="59">
        <v>10.92</v>
      </c>
      <c r="AI21" s="60">
        <v>40</v>
      </c>
      <c r="AJ21" s="186"/>
      <c r="AK21" s="88">
        <f t="shared" si="9"/>
        <v>19</v>
      </c>
      <c r="AL21" s="59">
        <v>18.32</v>
      </c>
      <c r="AM21" s="60">
        <v>45</v>
      </c>
      <c r="AN21" s="186"/>
      <c r="AO21" s="88">
        <f t="shared" si="10"/>
        <v>19</v>
      </c>
      <c r="AP21" s="59">
        <v>5</v>
      </c>
      <c r="AQ21" s="60">
        <v>3</v>
      </c>
      <c r="AR21" s="186"/>
      <c r="AS21" s="88">
        <f t="shared" si="11"/>
        <v>19</v>
      </c>
      <c r="AT21" s="59">
        <v>6.5</v>
      </c>
      <c r="AU21" s="60">
        <v>10</v>
      </c>
      <c r="AV21" s="186"/>
      <c r="AW21" s="73"/>
    </row>
    <row r="22" spans="1:49" s="54" customFormat="1" ht="11.25" x14ac:dyDescent="0.2">
      <c r="A22" s="86">
        <f t="shared" si="0"/>
        <v>20</v>
      </c>
      <c r="B22" s="59">
        <v>11.62</v>
      </c>
      <c r="C22" s="60">
        <v>80</v>
      </c>
      <c r="D22" s="186"/>
      <c r="E22" s="88">
        <f t="shared" si="1"/>
        <v>20</v>
      </c>
      <c r="F22" s="59">
        <v>11</v>
      </c>
      <c r="G22" s="60">
        <v>30</v>
      </c>
      <c r="H22" s="186"/>
      <c r="I22" s="88">
        <f t="shared" si="2"/>
        <v>20</v>
      </c>
      <c r="J22" s="59">
        <v>10.41</v>
      </c>
      <c r="K22" s="60">
        <v>10</v>
      </c>
      <c r="L22" s="186"/>
      <c r="M22" s="88">
        <f t="shared" si="3"/>
        <v>20</v>
      </c>
      <c r="N22" s="59">
        <v>17.14</v>
      </c>
      <c r="O22" s="60">
        <v>78</v>
      </c>
      <c r="P22" s="186"/>
      <c r="Q22" s="88">
        <f t="shared" si="4"/>
        <v>20</v>
      </c>
      <c r="R22" s="59">
        <v>40.92</v>
      </c>
      <c r="S22" s="60">
        <v>470</v>
      </c>
      <c r="T22" s="186"/>
      <c r="U22" s="88">
        <f t="shared" si="5"/>
        <v>20</v>
      </c>
      <c r="V22" s="59"/>
      <c r="W22" s="60"/>
      <c r="X22" s="186"/>
      <c r="Y22" s="88">
        <f t="shared" si="6"/>
        <v>20</v>
      </c>
      <c r="Z22" s="59">
        <v>16.829999999999998</v>
      </c>
      <c r="AA22" s="60">
        <v>105</v>
      </c>
      <c r="AB22" s="186"/>
      <c r="AC22" s="88">
        <f t="shared" si="7"/>
        <v>20</v>
      </c>
      <c r="AD22" s="59">
        <v>24.17</v>
      </c>
      <c r="AE22" s="60">
        <v>323</v>
      </c>
      <c r="AF22" s="186"/>
      <c r="AG22" s="88">
        <f t="shared" si="8"/>
        <v>20</v>
      </c>
      <c r="AH22" s="59">
        <v>13.87</v>
      </c>
      <c r="AI22" s="60">
        <v>40</v>
      </c>
      <c r="AJ22" s="186"/>
      <c r="AK22" s="88">
        <f t="shared" si="9"/>
        <v>20</v>
      </c>
      <c r="AL22" s="59">
        <v>15.1</v>
      </c>
      <c r="AM22" s="60">
        <v>9</v>
      </c>
      <c r="AN22" s="186"/>
      <c r="AO22" s="88">
        <f t="shared" si="10"/>
        <v>20</v>
      </c>
      <c r="AP22" s="59">
        <v>31.2</v>
      </c>
      <c r="AQ22" s="60">
        <v>170</v>
      </c>
      <c r="AR22" s="186"/>
      <c r="AS22" s="88">
        <f t="shared" si="11"/>
        <v>20</v>
      </c>
      <c r="AT22" s="59">
        <v>12.76</v>
      </c>
      <c r="AU22" s="60">
        <v>40</v>
      </c>
      <c r="AV22" s="186"/>
      <c r="AW22" s="73"/>
    </row>
    <row r="23" spans="1:49" s="54" customFormat="1" ht="11.25" x14ac:dyDescent="0.2">
      <c r="A23" s="86">
        <f t="shared" si="0"/>
        <v>21</v>
      </c>
      <c r="B23" s="59">
        <v>12.33</v>
      </c>
      <c r="C23" s="60">
        <v>310</v>
      </c>
      <c r="D23" s="186"/>
      <c r="E23" s="88">
        <f t="shared" si="1"/>
        <v>21</v>
      </c>
      <c r="F23" s="59"/>
      <c r="G23" s="60"/>
      <c r="H23" s="186"/>
      <c r="I23" s="88">
        <f t="shared" si="2"/>
        <v>21</v>
      </c>
      <c r="J23" s="59">
        <v>5</v>
      </c>
      <c r="K23" s="60">
        <v>3</v>
      </c>
      <c r="L23" s="186"/>
      <c r="M23" s="88">
        <f t="shared" si="3"/>
        <v>21</v>
      </c>
      <c r="N23" s="59">
        <v>28.14</v>
      </c>
      <c r="O23" s="60">
        <v>202</v>
      </c>
      <c r="P23" s="186"/>
      <c r="Q23" s="88">
        <f t="shared" si="4"/>
        <v>21</v>
      </c>
      <c r="R23" s="59">
        <v>53.070000000000007</v>
      </c>
      <c r="S23" s="60">
        <v>257</v>
      </c>
      <c r="T23" s="186"/>
      <c r="U23" s="88">
        <f t="shared" si="5"/>
        <v>21</v>
      </c>
      <c r="V23" s="59">
        <v>36.299999999999997</v>
      </c>
      <c r="W23" s="60">
        <v>592</v>
      </c>
      <c r="X23" s="186"/>
      <c r="Y23" s="88">
        <f t="shared" si="6"/>
        <v>21</v>
      </c>
      <c r="Z23" s="59">
        <v>18.329999999999998</v>
      </c>
      <c r="AA23" s="60">
        <v>73</v>
      </c>
      <c r="AB23" s="186">
        <v>2.7777777777777776E-2</v>
      </c>
      <c r="AC23" s="88">
        <f t="shared" si="7"/>
        <v>21</v>
      </c>
      <c r="AD23" s="59">
        <v>21.05</v>
      </c>
      <c r="AE23" s="60">
        <v>20</v>
      </c>
      <c r="AF23" s="186"/>
      <c r="AG23" s="88">
        <f t="shared" si="8"/>
        <v>21</v>
      </c>
      <c r="AH23" s="59">
        <v>15.63</v>
      </c>
      <c r="AI23" s="60">
        <v>165</v>
      </c>
      <c r="AJ23" s="186"/>
      <c r="AK23" s="88">
        <f t="shared" si="9"/>
        <v>21</v>
      </c>
      <c r="AL23" s="59">
        <v>60.62</v>
      </c>
      <c r="AM23" s="60">
        <v>385</v>
      </c>
      <c r="AN23" s="186"/>
      <c r="AO23" s="88">
        <f t="shared" si="10"/>
        <v>21</v>
      </c>
      <c r="AP23" s="59">
        <v>10.119999999999999</v>
      </c>
      <c r="AQ23" s="60">
        <v>10</v>
      </c>
      <c r="AR23" s="186"/>
      <c r="AS23" s="88">
        <f t="shared" si="11"/>
        <v>21</v>
      </c>
      <c r="AT23" s="59">
        <v>10.58</v>
      </c>
      <c r="AU23" s="60">
        <v>30</v>
      </c>
      <c r="AV23" s="186">
        <v>1.0416666666666666E-2</v>
      </c>
      <c r="AW23" s="73"/>
    </row>
    <row r="24" spans="1:49" s="54" customFormat="1" ht="11.25" x14ac:dyDescent="0.2">
      <c r="A24" s="86">
        <f t="shared" si="0"/>
        <v>22</v>
      </c>
      <c r="B24" s="59">
        <v>13.09</v>
      </c>
      <c r="C24" s="60">
        <v>350</v>
      </c>
      <c r="D24" s="186">
        <v>1.3888888888888888E-2</v>
      </c>
      <c r="E24" s="88">
        <f t="shared" si="1"/>
        <v>22</v>
      </c>
      <c r="F24" s="59">
        <v>10.1</v>
      </c>
      <c r="G24" s="60">
        <v>20</v>
      </c>
      <c r="H24" s="186"/>
      <c r="I24" s="88">
        <f t="shared" si="2"/>
        <v>22</v>
      </c>
      <c r="J24" s="59">
        <v>11.16</v>
      </c>
      <c r="K24" s="60">
        <v>30</v>
      </c>
      <c r="L24" s="186"/>
      <c r="M24" s="88">
        <f t="shared" si="3"/>
        <v>22</v>
      </c>
      <c r="N24" s="54">
        <v>20.13</v>
      </c>
      <c r="O24" s="54">
        <v>30</v>
      </c>
      <c r="P24" s="186">
        <v>1.0416666666666666E-2</v>
      </c>
      <c r="Q24" s="88">
        <f t="shared" si="4"/>
        <v>22</v>
      </c>
      <c r="R24" s="59">
        <v>13.44</v>
      </c>
      <c r="S24" s="54">
        <v>30</v>
      </c>
      <c r="T24" s="186"/>
      <c r="U24" s="88">
        <f t="shared" si="5"/>
        <v>22</v>
      </c>
      <c r="V24" s="59">
        <v>13.5</v>
      </c>
      <c r="W24" s="60">
        <v>300</v>
      </c>
      <c r="X24" s="186"/>
      <c r="Y24" s="88">
        <f t="shared" si="6"/>
        <v>22</v>
      </c>
      <c r="Z24" s="59">
        <v>22.53</v>
      </c>
      <c r="AA24" s="60">
        <v>118</v>
      </c>
      <c r="AB24" s="186">
        <v>2.0833333333333332E-2</v>
      </c>
      <c r="AC24" s="88">
        <f t="shared" si="7"/>
        <v>22</v>
      </c>
      <c r="AD24" s="59">
        <v>13.950000000000001</v>
      </c>
      <c r="AE24" s="60">
        <v>27</v>
      </c>
      <c r="AF24" s="186"/>
      <c r="AG24" s="88">
        <f t="shared" si="8"/>
        <v>22</v>
      </c>
      <c r="AH24" s="59">
        <v>17.8</v>
      </c>
      <c r="AI24" s="60">
        <v>85</v>
      </c>
      <c r="AJ24" s="186"/>
      <c r="AK24" s="88">
        <f t="shared" si="9"/>
        <v>22</v>
      </c>
      <c r="AL24" s="59">
        <v>25.68</v>
      </c>
      <c r="AM24" s="60">
        <v>15</v>
      </c>
      <c r="AN24" s="186"/>
      <c r="AO24" s="88">
        <f t="shared" si="10"/>
        <v>22</v>
      </c>
      <c r="AP24" s="59">
        <v>10.6</v>
      </c>
      <c r="AQ24" s="60">
        <v>30</v>
      </c>
      <c r="AR24" s="186"/>
      <c r="AS24" s="88">
        <f t="shared" si="11"/>
        <v>22</v>
      </c>
      <c r="AT24" s="59">
        <v>10.199999999999999</v>
      </c>
      <c r="AU24" s="60">
        <v>30</v>
      </c>
      <c r="AV24" s="186"/>
      <c r="AW24" s="73"/>
    </row>
    <row r="25" spans="1:49" s="54" customFormat="1" ht="11.25" x14ac:dyDescent="0.2">
      <c r="A25" s="86">
        <f t="shared" si="0"/>
        <v>23</v>
      </c>
      <c r="B25" s="59">
        <v>12.5</v>
      </c>
      <c r="C25" s="60">
        <v>40</v>
      </c>
      <c r="D25" s="186"/>
      <c r="E25" s="88">
        <f t="shared" si="1"/>
        <v>23</v>
      </c>
      <c r="F25" s="59">
        <v>22.05</v>
      </c>
      <c r="G25" s="60">
        <v>130</v>
      </c>
      <c r="H25" s="186"/>
      <c r="I25" s="88">
        <f t="shared" si="2"/>
        <v>23</v>
      </c>
      <c r="J25" s="59">
        <v>12.07</v>
      </c>
      <c r="K25" s="60">
        <v>50</v>
      </c>
      <c r="L25" s="186"/>
      <c r="M25" s="88">
        <f t="shared" si="3"/>
        <v>23</v>
      </c>
      <c r="N25" s="59">
        <v>50.41</v>
      </c>
      <c r="O25" s="60">
        <v>140</v>
      </c>
      <c r="P25" s="186"/>
      <c r="Q25" s="88">
        <f t="shared" si="4"/>
        <v>23</v>
      </c>
      <c r="R25" s="59">
        <v>10.64</v>
      </c>
      <c r="S25" s="60">
        <v>25</v>
      </c>
      <c r="T25" s="186"/>
      <c r="U25" s="88">
        <f t="shared" si="5"/>
        <v>23</v>
      </c>
      <c r="V25" s="59">
        <v>45</v>
      </c>
      <c r="W25" s="60">
        <v>600</v>
      </c>
      <c r="X25" s="186"/>
      <c r="Y25" s="88">
        <f t="shared" si="6"/>
        <v>23</v>
      </c>
      <c r="Z25" s="59">
        <v>32.200000000000003</v>
      </c>
      <c r="AA25" s="60">
        <v>272</v>
      </c>
      <c r="AB25" s="186"/>
      <c r="AC25" s="88">
        <f t="shared" si="7"/>
        <v>23</v>
      </c>
      <c r="AD25" s="59">
        <v>11.5</v>
      </c>
      <c r="AE25" s="60">
        <v>68</v>
      </c>
      <c r="AF25" s="186"/>
      <c r="AG25" s="88">
        <f t="shared" si="8"/>
        <v>23</v>
      </c>
      <c r="AH25" s="59">
        <v>39</v>
      </c>
      <c r="AI25" s="60">
        <v>432</v>
      </c>
      <c r="AJ25" s="186"/>
      <c r="AK25" s="88">
        <f t="shared" si="9"/>
        <v>23</v>
      </c>
      <c r="AL25" s="59">
        <v>41.75</v>
      </c>
      <c r="AM25" s="60">
        <v>80</v>
      </c>
      <c r="AN25" s="186"/>
      <c r="AO25" s="88">
        <f t="shared" si="10"/>
        <v>23</v>
      </c>
      <c r="AP25" s="59">
        <v>17.41</v>
      </c>
      <c r="AQ25" s="60">
        <v>125</v>
      </c>
      <c r="AR25" s="186"/>
      <c r="AS25" s="88">
        <f t="shared" si="11"/>
        <v>23</v>
      </c>
      <c r="AT25" s="59">
        <v>20.399999999999999</v>
      </c>
      <c r="AU25" s="60">
        <v>142</v>
      </c>
      <c r="AV25" s="186">
        <v>1.5277777777777777E-2</v>
      </c>
      <c r="AW25" s="73"/>
    </row>
    <row r="26" spans="1:49" s="54" customFormat="1" ht="11.25" x14ac:dyDescent="0.2">
      <c r="A26" s="86">
        <f t="shared" si="0"/>
        <v>24</v>
      </c>
      <c r="B26" s="59">
        <v>10.31</v>
      </c>
      <c r="C26" s="60">
        <v>50</v>
      </c>
      <c r="D26" s="186"/>
      <c r="E26" s="88">
        <f t="shared" si="1"/>
        <v>24</v>
      </c>
      <c r="F26" s="59">
        <v>28.34</v>
      </c>
      <c r="G26" s="60">
        <v>216</v>
      </c>
      <c r="H26" s="186"/>
      <c r="I26" s="88">
        <f t="shared" si="2"/>
        <v>24</v>
      </c>
      <c r="J26" s="59">
        <v>10.25</v>
      </c>
      <c r="K26" s="60">
        <v>6</v>
      </c>
      <c r="L26" s="186"/>
      <c r="M26" s="88">
        <f t="shared" si="3"/>
        <v>24</v>
      </c>
      <c r="N26" s="59">
        <v>14.219999999999999</v>
      </c>
      <c r="O26" s="60">
        <v>90</v>
      </c>
      <c r="P26" s="186"/>
      <c r="Q26" s="88">
        <f t="shared" si="4"/>
        <v>24</v>
      </c>
      <c r="R26" s="59">
        <v>13.58</v>
      </c>
      <c r="S26" s="60">
        <v>33</v>
      </c>
      <c r="T26" s="186">
        <v>4.8611111111111112E-3</v>
      </c>
      <c r="U26" s="88">
        <f t="shared" si="5"/>
        <v>24</v>
      </c>
      <c r="V26" s="59"/>
      <c r="W26" s="60"/>
      <c r="X26" s="186"/>
      <c r="Y26" s="88">
        <f t="shared" si="6"/>
        <v>24</v>
      </c>
      <c r="Z26" s="59">
        <v>10.11</v>
      </c>
      <c r="AA26" s="60">
        <v>40</v>
      </c>
      <c r="AB26" s="186"/>
      <c r="AC26" s="88">
        <f t="shared" si="7"/>
        <v>24</v>
      </c>
      <c r="AD26" s="59"/>
      <c r="AE26" s="60"/>
      <c r="AF26" s="186"/>
      <c r="AG26" s="88">
        <f t="shared" si="8"/>
        <v>24</v>
      </c>
      <c r="AH26" s="59">
        <v>52.169999999999995</v>
      </c>
      <c r="AI26" s="60">
        <v>437</v>
      </c>
      <c r="AJ26" s="186"/>
      <c r="AK26" s="88">
        <f t="shared" si="9"/>
        <v>24</v>
      </c>
      <c r="AL26" s="59">
        <v>10</v>
      </c>
      <c r="AM26" s="60">
        <v>30</v>
      </c>
      <c r="AN26" s="186"/>
      <c r="AO26" s="88">
        <f t="shared" si="10"/>
        <v>24</v>
      </c>
      <c r="AP26" s="59">
        <v>13.38</v>
      </c>
      <c r="AQ26" s="60">
        <v>30</v>
      </c>
      <c r="AR26" s="186"/>
      <c r="AS26" s="88">
        <f t="shared" si="11"/>
        <v>24</v>
      </c>
      <c r="AT26" s="59">
        <v>20.100000000000001</v>
      </c>
      <c r="AU26" s="60">
        <v>750</v>
      </c>
      <c r="AV26" s="186">
        <v>4.1666666666666664E-2</v>
      </c>
      <c r="AW26" s="73"/>
    </row>
    <row r="27" spans="1:49" s="54" customFormat="1" ht="11.25" x14ac:dyDescent="0.2">
      <c r="A27" s="86">
        <f t="shared" si="0"/>
        <v>25</v>
      </c>
      <c r="B27" s="59">
        <v>10.27</v>
      </c>
      <c r="C27" s="60">
        <v>50</v>
      </c>
      <c r="D27" s="186"/>
      <c r="E27" s="88">
        <f t="shared" si="1"/>
        <v>25</v>
      </c>
      <c r="F27" s="59">
        <v>55.65</v>
      </c>
      <c r="G27" s="60">
        <v>593</v>
      </c>
      <c r="H27" s="186"/>
      <c r="I27" s="88">
        <f t="shared" si="2"/>
        <v>25</v>
      </c>
      <c r="J27" s="59">
        <v>84.039999999999992</v>
      </c>
      <c r="K27" s="60">
        <v>1965</v>
      </c>
      <c r="L27" s="186"/>
      <c r="M27" s="88">
        <f t="shared" si="3"/>
        <v>25</v>
      </c>
      <c r="N27" s="59"/>
      <c r="O27" s="60"/>
      <c r="P27" s="186"/>
      <c r="Q27" s="88">
        <f t="shared" si="4"/>
        <v>25</v>
      </c>
      <c r="R27" s="59">
        <v>64.2</v>
      </c>
      <c r="S27" s="60">
        <v>820</v>
      </c>
      <c r="T27" s="186"/>
      <c r="U27" s="88">
        <f t="shared" si="5"/>
        <v>25</v>
      </c>
      <c r="V27" s="59"/>
      <c r="W27" s="60"/>
      <c r="X27" s="186"/>
      <c r="Y27" s="88">
        <f t="shared" si="6"/>
        <v>25</v>
      </c>
      <c r="Z27" s="59">
        <v>5.17</v>
      </c>
      <c r="AA27" s="60">
        <v>3</v>
      </c>
      <c r="AB27" s="186"/>
      <c r="AC27" s="88">
        <f t="shared" si="7"/>
        <v>25</v>
      </c>
      <c r="AD27" s="59">
        <v>22.900000000000002</v>
      </c>
      <c r="AE27" s="60">
        <v>70</v>
      </c>
      <c r="AF27" s="186"/>
      <c r="AG27" s="88">
        <f t="shared" si="8"/>
        <v>25</v>
      </c>
      <c r="AH27" s="59">
        <v>13.3</v>
      </c>
      <c r="AI27" s="60">
        <v>10</v>
      </c>
      <c r="AJ27" s="186"/>
      <c r="AK27" s="88">
        <f t="shared" si="9"/>
        <v>25</v>
      </c>
      <c r="AL27" s="59">
        <v>16.73</v>
      </c>
      <c r="AM27" s="60">
        <v>20</v>
      </c>
      <c r="AN27" s="186"/>
      <c r="AO27" s="88">
        <f t="shared" si="10"/>
        <v>25</v>
      </c>
      <c r="AP27" s="59">
        <v>5.13</v>
      </c>
      <c r="AQ27" s="60">
        <v>3</v>
      </c>
      <c r="AR27" s="186"/>
      <c r="AS27" s="88">
        <f t="shared" si="11"/>
        <v>25</v>
      </c>
      <c r="AT27" s="59">
        <v>2</v>
      </c>
      <c r="AU27" s="60">
        <v>3</v>
      </c>
      <c r="AV27" s="186"/>
      <c r="AW27" s="73"/>
    </row>
    <row r="28" spans="1:49" s="54" customFormat="1" ht="11.25" x14ac:dyDescent="0.2">
      <c r="A28" s="86">
        <f t="shared" si="0"/>
        <v>26</v>
      </c>
      <c r="B28" s="59">
        <v>11.43</v>
      </c>
      <c r="C28" s="60">
        <v>10</v>
      </c>
      <c r="D28" s="186"/>
      <c r="E28" s="88">
        <f t="shared" si="1"/>
        <v>26</v>
      </c>
      <c r="F28" s="59">
        <v>51.27</v>
      </c>
      <c r="G28" s="60">
        <v>474</v>
      </c>
      <c r="H28" s="186"/>
      <c r="I28" s="88">
        <f t="shared" si="2"/>
        <v>26</v>
      </c>
      <c r="J28" s="59">
        <v>19.760000000000002</v>
      </c>
      <c r="K28" s="60">
        <v>125</v>
      </c>
      <c r="L28" s="186"/>
      <c r="M28" s="88">
        <f t="shared" si="3"/>
        <v>26</v>
      </c>
      <c r="N28" s="59">
        <v>16.16</v>
      </c>
      <c r="O28" s="60">
        <v>45</v>
      </c>
      <c r="P28" s="186"/>
      <c r="Q28" s="88">
        <f t="shared" si="4"/>
        <v>26</v>
      </c>
      <c r="R28" s="59">
        <v>24.4</v>
      </c>
      <c r="S28" s="60">
        <v>530</v>
      </c>
      <c r="T28" s="186"/>
      <c r="U28" s="88">
        <f t="shared" si="5"/>
        <v>26</v>
      </c>
      <c r="V28" s="59">
        <v>32</v>
      </c>
      <c r="W28" s="60">
        <v>1530</v>
      </c>
      <c r="X28" s="186"/>
      <c r="Y28" s="88">
        <f t="shared" si="6"/>
        <v>26</v>
      </c>
      <c r="Z28" s="59">
        <v>12.61</v>
      </c>
      <c r="AA28" s="60">
        <v>50</v>
      </c>
      <c r="AB28" s="186"/>
      <c r="AC28" s="88">
        <f t="shared" si="7"/>
        <v>26</v>
      </c>
      <c r="AD28" s="59">
        <v>38.1</v>
      </c>
      <c r="AE28" s="60">
        <v>265</v>
      </c>
      <c r="AF28" s="186"/>
      <c r="AG28" s="88">
        <f t="shared" si="8"/>
        <v>26</v>
      </c>
      <c r="AH28" s="59">
        <v>10.07</v>
      </c>
      <c r="AI28" s="60">
        <v>30</v>
      </c>
      <c r="AJ28" s="186"/>
      <c r="AK28" s="88">
        <f t="shared" si="9"/>
        <v>26</v>
      </c>
      <c r="AL28" s="59">
        <v>15</v>
      </c>
      <c r="AM28" s="60">
        <v>30</v>
      </c>
      <c r="AN28" s="186"/>
      <c r="AO28" s="88">
        <f t="shared" si="10"/>
        <v>26</v>
      </c>
      <c r="AP28" s="59">
        <v>10.66</v>
      </c>
      <c r="AQ28" s="60">
        <v>90</v>
      </c>
      <c r="AR28" s="186">
        <v>1.0416666666666666E-2</v>
      </c>
      <c r="AS28" s="88">
        <f t="shared" si="11"/>
        <v>26</v>
      </c>
      <c r="AT28" s="59">
        <v>10.029999999999999</v>
      </c>
      <c r="AU28" s="60">
        <v>60</v>
      </c>
      <c r="AV28" s="186">
        <v>1.0416666666666666E-2</v>
      </c>
      <c r="AW28" s="73"/>
    </row>
    <row r="29" spans="1:49" s="54" customFormat="1" ht="11.25" x14ac:dyDescent="0.2">
      <c r="A29" s="86">
        <f t="shared" si="0"/>
        <v>27</v>
      </c>
      <c r="B29" s="59">
        <v>10.199999999999999</v>
      </c>
      <c r="C29" s="60">
        <v>10</v>
      </c>
      <c r="D29" s="186"/>
      <c r="E29" s="88">
        <f t="shared" si="1"/>
        <v>27</v>
      </c>
      <c r="F29" s="59">
        <v>14.52</v>
      </c>
      <c r="G29" s="60">
        <v>282</v>
      </c>
      <c r="H29" s="186"/>
      <c r="I29" s="88">
        <f t="shared" si="2"/>
        <v>27</v>
      </c>
      <c r="J29" s="59">
        <v>10.33</v>
      </c>
      <c r="K29" s="60">
        <v>15</v>
      </c>
      <c r="L29" s="186"/>
      <c r="M29" s="88">
        <f t="shared" si="3"/>
        <v>27</v>
      </c>
      <c r="N29" s="59">
        <v>16.95</v>
      </c>
      <c r="O29" s="60">
        <v>45</v>
      </c>
      <c r="P29" s="186"/>
      <c r="Q29" s="88">
        <f t="shared" si="4"/>
        <v>27</v>
      </c>
      <c r="R29" s="59">
        <v>53.2</v>
      </c>
      <c r="S29" s="60">
        <v>1130</v>
      </c>
      <c r="T29" s="186"/>
      <c r="U29" s="88">
        <f t="shared" si="5"/>
        <v>27</v>
      </c>
      <c r="V29" s="59"/>
      <c r="W29" s="60"/>
      <c r="X29" s="186"/>
      <c r="Y29" s="88">
        <f t="shared" si="6"/>
        <v>27</v>
      </c>
      <c r="Z29" s="59">
        <v>14.219999999999999</v>
      </c>
      <c r="AA29" s="60">
        <v>90</v>
      </c>
      <c r="AB29" s="186"/>
      <c r="AC29" s="88">
        <f t="shared" si="7"/>
        <v>27</v>
      </c>
      <c r="AD29" s="59">
        <v>81.490000000000009</v>
      </c>
      <c r="AE29" s="60">
        <v>1265</v>
      </c>
      <c r="AF29" s="186"/>
      <c r="AG29" s="88">
        <f t="shared" si="8"/>
        <v>27</v>
      </c>
      <c r="AH29" s="59">
        <v>13.1</v>
      </c>
      <c r="AI29" s="60">
        <v>10</v>
      </c>
      <c r="AJ29" s="186"/>
      <c r="AK29" s="88">
        <f t="shared" si="9"/>
        <v>27</v>
      </c>
      <c r="AL29" s="59">
        <v>18.61</v>
      </c>
      <c r="AM29" s="60">
        <v>414</v>
      </c>
      <c r="AN29" s="186"/>
      <c r="AO29" s="88">
        <f t="shared" si="10"/>
        <v>27</v>
      </c>
      <c r="AP29" s="59">
        <v>10.02</v>
      </c>
      <c r="AQ29" s="60">
        <v>45</v>
      </c>
      <c r="AR29" s="186">
        <v>1.0416666666666666E-2</v>
      </c>
      <c r="AS29" s="88">
        <f t="shared" si="11"/>
        <v>27</v>
      </c>
      <c r="AT29" s="59"/>
      <c r="AU29" s="60"/>
      <c r="AV29" s="186">
        <v>1.0416666666666666E-2</v>
      </c>
      <c r="AW29" s="73"/>
    </row>
    <row r="30" spans="1:49" s="54" customFormat="1" ht="11.25" x14ac:dyDescent="0.2">
      <c r="A30" s="86">
        <f t="shared" si="0"/>
        <v>28</v>
      </c>
      <c r="B30" s="59">
        <v>10.98</v>
      </c>
      <c r="C30" s="60">
        <v>310</v>
      </c>
      <c r="D30" s="186">
        <v>1.3888888888888888E-2</v>
      </c>
      <c r="E30" s="88">
        <f t="shared" si="1"/>
        <v>28</v>
      </c>
      <c r="F30" s="59"/>
      <c r="G30" s="60"/>
      <c r="H30" s="186"/>
      <c r="I30" s="88">
        <f t="shared" si="2"/>
        <v>28</v>
      </c>
      <c r="J30" s="59">
        <v>13.75</v>
      </c>
      <c r="K30" s="60">
        <v>140</v>
      </c>
      <c r="L30" s="186"/>
      <c r="M30" s="88">
        <f t="shared" si="3"/>
        <v>28</v>
      </c>
      <c r="N30" s="59"/>
      <c r="O30" s="60"/>
      <c r="P30" s="186"/>
      <c r="Q30" s="88">
        <f t="shared" si="4"/>
        <v>28</v>
      </c>
      <c r="R30" s="59">
        <v>28.21</v>
      </c>
      <c r="S30" s="60">
        <v>176</v>
      </c>
      <c r="T30" s="186"/>
      <c r="U30" s="88">
        <f t="shared" si="5"/>
        <v>28</v>
      </c>
      <c r="V30" s="59"/>
      <c r="W30" s="60"/>
      <c r="X30" s="186"/>
      <c r="Y30" s="88">
        <f t="shared" si="6"/>
        <v>28</v>
      </c>
      <c r="Z30" s="59">
        <v>5.16</v>
      </c>
      <c r="AA30" s="60">
        <v>3</v>
      </c>
      <c r="AB30" s="186"/>
      <c r="AC30" s="88">
        <f t="shared" si="7"/>
        <v>28</v>
      </c>
      <c r="AD30" s="59">
        <v>11</v>
      </c>
      <c r="AE30" s="60">
        <v>25</v>
      </c>
      <c r="AF30" s="186"/>
      <c r="AG30" s="88">
        <f t="shared" si="8"/>
        <v>28</v>
      </c>
      <c r="AH30" s="59">
        <v>13.5</v>
      </c>
      <c r="AI30" s="60">
        <v>55</v>
      </c>
      <c r="AJ30" s="186"/>
      <c r="AK30" s="88">
        <f t="shared" si="9"/>
        <v>28</v>
      </c>
      <c r="AL30" s="59">
        <v>24.95</v>
      </c>
      <c r="AM30" s="60">
        <v>50</v>
      </c>
      <c r="AN30" s="186"/>
      <c r="AO30" s="88">
        <f t="shared" si="10"/>
        <v>28</v>
      </c>
      <c r="AP30" s="59"/>
      <c r="AQ30" s="60"/>
      <c r="AR30" s="186"/>
      <c r="AS30" s="88">
        <f t="shared" si="11"/>
        <v>28</v>
      </c>
      <c r="AT30" s="59"/>
      <c r="AU30" s="60"/>
      <c r="AV30" s="186">
        <v>1.1805555555555555E-2</v>
      </c>
      <c r="AW30" s="73"/>
    </row>
    <row r="31" spans="1:49" s="54" customFormat="1" ht="11.25" x14ac:dyDescent="0.2">
      <c r="A31" s="86">
        <f t="shared" si="0"/>
        <v>29</v>
      </c>
      <c r="B31" s="59">
        <v>13.91</v>
      </c>
      <c r="C31" s="60">
        <v>45</v>
      </c>
      <c r="D31" s="186"/>
      <c r="E31" s="88"/>
      <c r="F31" s="59"/>
      <c r="G31" s="60"/>
      <c r="H31" s="186"/>
      <c r="I31" s="88">
        <f t="shared" si="2"/>
        <v>29</v>
      </c>
      <c r="J31" s="59">
        <v>13.75</v>
      </c>
      <c r="K31" s="60">
        <v>140</v>
      </c>
      <c r="L31" s="186"/>
      <c r="M31" s="88">
        <f t="shared" si="3"/>
        <v>29</v>
      </c>
      <c r="N31" s="59">
        <v>41.070000000000007</v>
      </c>
      <c r="O31" s="60">
        <v>368</v>
      </c>
      <c r="P31" s="186"/>
      <c r="Q31" s="88">
        <f t="shared" si="4"/>
        <v>29</v>
      </c>
      <c r="R31" s="59">
        <v>16.43</v>
      </c>
      <c r="S31" s="60">
        <v>10</v>
      </c>
      <c r="T31" s="186"/>
      <c r="U31" s="88">
        <f t="shared" si="5"/>
        <v>29</v>
      </c>
      <c r="V31" s="59">
        <v>16</v>
      </c>
      <c r="W31" s="60">
        <v>550</v>
      </c>
      <c r="X31" s="186"/>
      <c r="Y31" s="88">
        <f t="shared" si="6"/>
        <v>29</v>
      </c>
      <c r="Z31" s="59">
        <v>29</v>
      </c>
      <c r="AA31" s="60">
        <v>265</v>
      </c>
      <c r="AB31" s="186"/>
      <c r="AC31" s="88">
        <f t="shared" si="7"/>
        <v>29</v>
      </c>
      <c r="AD31" s="59">
        <v>21.3</v>
      </c>
      <c r="AE31" s="60">
        <v>150</v>
      </c>
      <c r="AF31" s="186"/>
      <c r="AG31" s="88">
        <f t="shared" si="8"/>
        <v>29</v>
      </c>
      <c r="AH31" s="59">
        <v>14.81</v>
      </c>
      <c r="AI31" s="60">
        <v>340</v>
      </c>
      <c r="AJ31" s="186"/>
      <c r="AK31" s="88">
        <f t="shared" si="9"/>
        <v>29</v>
      </c>
      <c r="AL31" s="59">
        <v>16.190000000000001</v>
      </c>
      <c r="AM31" s="60">
        <v>40</v>
      </c>
      <c r="AN31" s="186"/>
      <c r="AO31" s="88">
        <f t="shared" si="10"/>
        <v>29</v>
      </c>
      <c r="AP31" s="59">
        <v>11.16</v>
      </c>
      <c r="AQ31" s="60">
        <v>60</v>
      </c>
      <c r="AR31" s="186"/>
      <c r="AS31" s="88">
        <f t="shared" si="11"/>
        <v>29</v>
      </c>
      <c r="AT31" s="59">
        <v>11.12</v>
      </c>
      <c r="AU31" s="60">
        <v>65</v>
      </c>
      <c r="AV31" s="186"/>
      <c r="AW31" s="73"/>
    </row>
    <row r="32" spans="1:49" s="54" customFormat="1" ht="11.25" x14ac:dyDescent="0.2">
      <c r="A32" s="86">
        <f t="shared" si="0"/>
        <v>30</v>
      </c>
      <c r="B32" s="59">
        <v>5</v>
      </c>
      <c r="C32" s="60">
        <v>3</v>
      </c>
      <c r="D32" s="186"/>
      <c r="E32" s="88"/>
      <c r="F32" s="59"/>
      <c r="G32" s="60"/>
      <c r="H32" s="186"/>
      <c r="I32" s="88">
        <f t="shared" si="2"/>
        <v>30</v>
      </c>
      <c r="J32" s="59">
        <v>13.38</v>
      </c>
      <c r="K32" s="60">
        <v>30</v>
      </c>
      <c r="L32" s="186"/>
      <c r="M32" s="88">
        <f t="shared" si="3"/>
        <v>30</v>
      </c>
      <c r="N32" s="59">
        <v>43.6</v>
      </c>
      <c r="O32" s="60">
        <v>1084</v>
      </c>
      <c r="P32" s="186"/>
      <c r="Q32" s="88">
        <f t="shared" si="4"/>
        <v>30</v>
      </c>
      <c r="R32" s="59">
        <v>8.3000000000000007</v>
      </c>
      <c r="S32" s="60">
        <v>10</v>
      </c>
      <c r="T32" s="186"/>
      <c r="U32" s="88">
        <f t="shared" si="5"/>
        <v>30</v>
      </c>
      <c r="V32" s="59">
        <v>45</v>
      </c>
      <c r="W32" s="60">
        <v>1450</v>
      </c>
      <c r="X32" s="186"/>
      <c r="Y32" s="88">
        <f t="shared" si="6"/>
        <v>30</v>
      </c>
      <c r="Z32" s="59">
        <v>80</v>
      </c>
      <c r="AA32" s="60">
        <v>447</v>
      </c>
      <c r="AB32" s="186"/>
      <c r="AC32" s="88">
        <f t="shared" si="7"/>
        <v>30</v>
      </c>
      <c r="AD32" s="59">
        <v>22.48</v>
      </c>
      <c r="AE32" s="60">
        <v>80</v>
      </c>
      <c r="AF32" s="186"/>
      <c r="AG32" s="88">
        <f t="shared" si="8"/>
        <v>30</v>
      </c>
      <c r="AH32" s="59">
        <v>36.309999999999995</v>
      </c>
      <c r="AI32" s="60">
        <v>755</v>
      </c>
      <c r="AJ32" s="186"/>
      <c r="AK32" s="88">
        <f t="shared" si="9"/>
        <v>30</v>
      </c>
      <c r="AL32" s="59">
        <v>13.5</v>
      </c>
      <c r="AM32" s="60">
        <v>40</v>
      </c>
      <c r="AN32" s="186"/>
      <c r="AO32" s="88">
        <f t="shared" si="10"/>
        <v>30</v>
      </c>
      <c r="AP32" s="59">
        <v>10.1</v>
      </c>
      <c r="AQ32" s="60">
        <v>30</v>
      </c>
      <c r="AR32" s="186"/>
      <c r="AS32" s="88">
        <f t="shared" si="11"/>
        <v>30</v>
      </c>
      <c r="AT32" s="59">
        <v>27.72</v>
      </c>
      <c r="AU32" s="60">
        <v>90</v>
      </c>
      <c r="AV32" s="186">
        <v>1.0416666666666666E-2</v>
      </c>
      <c r="AW32" s="73"/>
    </row>
    <row r="33" spans="1:49" s="54" customFormat="1" ht="11.25" x14ac:dyDescent="0.2">
      <c r="A33" s="87">
        <f t="shared" si="0"/>
        <v>31</v>
      </c>
      <c r="B33" s="68">
        <v>10.26</v>
      </c>
      <c r="C33" s="69">
        <v>15</v>
      </c>
      <c r="D33" s="187"/>
      <c r="E33" s="89"/>
      <c r="F33" s="68"/>
      <c r="G33" s="69"/>
      <c r="H33" s="187"/>
      <c r="I33" s="89">
        <f t="shared" si="2"/>
        <v>31</v>
      </c>
      <c r="J33" s="68">
        <v>15.899999999999999</v>
      </c>
      <c r="K33" s="69">
        <v>195</v>
      </c>
      <c r="L33" s="187"/>
      <c r="M33" s="89"/>
      <c r="N33" s="68"/>
      <c r="O33" s="69"/>
      <c r="P33" s="187"/>
      <c r="Q33" s="89">
        <f t="shared" si="4"/>
        <v>31</v>
      </c>
      <c r="R33" s="68">
        <v>18.41</v>
      </c>
      <c r="S33" s="69">
        <v>50</v>
      </c>
      <c r="T33" s="187"/>
      <c r="U33" s="89"/>
      <c r="V33" s="68"/>
      <c r="W33" s="69"/>
      <c r="X33" s="187"/>
      <c r="Y33" s="89">
        <f t="shared" si="6"/>
        <v>31</v>
      </c>
      <c r="Z33" s="68">
        <v>10</v>
      </c>
      <c r="AA33" s="69">
        <v>20</v>
      </c>
      <c r="AB33" s="187"/>
      <c r="AC33" s="89">
        <f t="shared" si="7"/>
        <v>31</v>
      </c>
      <c r="AD33" s="68">
        <v>5.09</v>
      </c>
      <c r="AE33" s="69">
        <v>3</v>
      </c>
      <c r="AF33" s="187"/>
      <c r="AG33" s="89"/>
      <c r="AH33" s="68"/>
      <c r="AI33" s="69"/>
      <c r="AJ33" s="187"/>
      <c r="AK33" s="89">
        <f t="shared" si="9"/>
        <v>31</v>
      </c>
      <c r="AL33" s="68">
        <v>50</v>
      </c>
      <c r="AM33" s="69">
        <v>110</v>
      </c>
      <c r="AN33" s="187"/>
      <c r="AO33" s="89"/>
      <c r="AP33" s="68"/>
      <c r="AQ33" s="69"/>
      <c r="AR33" s="187"/>
      <c r="AS33" s="89">
        <f t="shared" si="11"/>
        <v>31</v>
      </c>
      <c r="AT33" s="68">
        <v>10.76</v>
      </c>
      <c r="AU33" s="69">
        <v>70</v>
      </c>
      <c r="AV33" s="187"/>
      <c r="AW33" s="73"/>
    </row>
    <row r="34" spans="1:49" s="54" customFormat="1" ht="11.25" x14ac:dyDescent="0.2">
      <c r="A34" s="50" t="s">
        <v>95</v>
      </c>
      <c r="B34" s="52">
        <f>SUM(B3:B33)</f>
        <v>244.28</v>
      </c>
      <c r="C34" s="53">
        <f>SUM(C3:C33)</f>
        <v>1676</v>
      </c>
      <c r="D34" s="92">
        <f>(SUM(D3:D33)/D39)*C39</f>
        <v>22</v>
      </c>
      <c r="E34" s="71"/>
      <c r="F34" s="52">
        <f>SUM(F3:F33)</f>
        <v>539.37</v>
      </c>
      <c r="G34" s="53">
        <f>SUM(G3:G33)</f>
        <v>3793</v>
      </c>
      <c r="H34" s="92">
        <f>(SUM(H3:H33)/D39)*C39</f>
        <v>102</v>
      </c>
      <c r="I34" s="71"/>
      <c r="J34" s="52">
        <f>SUM(J3:J33)</f>
        <v>610.62</v>
      </c>
      <c r="K34" s="53">
        <f>SUM(K3:K33)</f>
        <v>5068</v>
      </c>
      <c r="L34" s="92">
        <f>(SUM(L3:L33)/D39)*C39</f>
        <v>18</v>
      </c>
      <c r="M34" s="90"/>
      <c r="N34" s="52">
        <f>SUM(N3:N33)</f>
        <v>527.45999999999992</v>
      </c>
      <c r="O34" s="53">
        <f>SUM(O3:O33)</f>
        <v>4296</v>
      </c>
      <c r="P34" s="92">
        <f>(SUM(P3:P33)/D39)*C39</f>
        <v>26.000000000000004</v>
      </c>
      <c r="Q34" s="71"/>
      <c r="R34" s="52">
        <f>SUM(R3:R33)</f>
        <v>716.66</v>
      </c>
      <c r="S34" s="53">
        <f>SUM(S3:S33)</f>
        <v>6362</v>
      </c>
      <c r="T34" s="92">
        <f>(SUM(T3:T33)/D39)*C39</f>
        <v>35.6</v>
      </c>
      <c r="U34" s="71"/>
      <c r="V34" s="52">
        <f>SUM(V3:V33)</f>
        <v>659.1099999999999</v>
      </c>
      <c r="W34" s="53">
        <f>SUM(W3:W33)</f>
        <v>10132</v>
      </c>
      <c r="X34" s="92">
        <f>(SUM(X3:X33)/D39)*C39</f>
        <v>39.6</v>
      </c>
      <c r="Y34" s="71"/>
      <c r="Z34" s="52">
        <f>SUM(Z3:Z33)</f>
        <v>685.42</v>
      </c>
      <c r="AA34" s="53">
        <f>SUM(AA3:AA33)</f>
        <v>4641</v>
      </c>
      <c r="AB34" s="92">
        <f>(SUM(AB3:AB33)/D39)*C39</f>
        <v>34</v>
      </c>
      <c r="AC34" s="71"/>
      <c r="AD34" s="52">
        <f>SUM(AD3:AD33)</f>
        <v>680.4</v>
      </c>
      <c r="AE34" s="53">
        <f>SUM(AE3:AE33)</f>
        <v>5625</v>
      </c>
      <c r="AF34" s="92">
        <f>(SUM(AF3:AF33)/D39)*C39</f>
        <v>30</v>
      </c>
      <c r="AG34" s="71"/>
      <c r="AH34" s="59">
        <f>SUM(AH3:AH33)</f>
        <v>566.41999999999996</v>
      </c>
      <c r="AI34" s="53">
        <f>SUM(AI3:AI33)</f>
        <v>4043</v>
      </c>
      <c r="AJ34" s="92">
        <f>(SUM(AJ3:AJ33)/D39)*C39</f>
        <v>13.999999999999998</v>
      </c>
      <c r="AK34" s="71"/>
      <c r="AL34" s="52">
        <f>SUM(AL3:AL33)</f>
        <v>667.92000000000019</v>
      </c>
      <c r="AM34" s="53">
        <f>SUM(AM3:AM33)</f>
        <v>2548</v>
      </c>
      <c r="AN34" s="92">
        <f>(SUM(AN3:AN33)/D39)*C39</f>
        <v>13.999999999999998</v>
      </c>
      <c r="AO34" s="71"/>
      <c r="AP34" s="52">
        <f>SUM(AP3:AP33)</f>
        <v>460.50000000000011</v>
      </c>
      <c r="AQ34" s="53">
        <f>SUM(AQ3:AQ33)</f>
        <v>2150</v>
      </c>
      <c r="AR34" s="92">
        <f>(SUM(AR3:AR33)/D39)*C39</f>
        <v>52.800000000000004</v>
      </c>
      <c r="AS34" s="71"/>
      <c r="AT34" s="52">
        <f>SUM(AT3:AT33)</f>
        <v>377.75999999999988</v>
      </c>
      <c r="AU34" s="53">
        <f>SUM(AU3:AU33)</f>
        <v>2215</v>
      </c>
      <c r="AV34" s="92">
        <f>(SUM(AV3:AV33)/D39)*C39</f>
        <v>99.6</v>
      </c>
      <c r="AW34" s="73"/>
    </row>
    <row r="35" spans="1:49" s="57" customFormat="1" ht="11.25" x14ac:dyDescent="0.2">
      <c r="A35" s="51" t="s">
        <v>96</v>
      </c>
      <c r="B35" s="55">
        <f>B34</f>
        <v>244.28</v>
      </c>
      <c r="C35" s="56">
        <f>C34</f>
        <v>1676</v>
      </c>
      <c r="D35" s="93">
        <f>D34</f>
        <v>22</v>
      </c>
      <c r="E35" s="72"/>
      <c r="F35" s="55">
        <f>F34+B35</f>
        <v>783.65</v>
      </c>
      <c r="G35" s="56">
        <f>G34+C35</f>
        <v>5469</v>
      </c>
      <c r="H35" s="93">
        <f>H34+D35</f>
        <v>124</v>
      </c>
      <c r="I35" s="72"/>
      <c r="J35" s="55">
        <f>J34+F35</f>
        <v>1394.27</v>
      </c>
      <c r="K35" s="56">
        <f>K34+G35</f>
        <v>10537</v>
      </c>
      <c r="L35" s="93">
        <f>L34+H35</f>
        <v>142</v>
      </c>
      <c r="M35" s="72"/>
      <c r="N35" s="55">
        <f>N34+J35</f>
        <v>1921.73</v>
      </c>
      <c r="O35" s="56">
        <f>O34+K35</f>
        <v>14833</v>
      </c>
      <c r="P35" s="93">
        <f>P34+L35</f>
        <v>168</v>
      </c>
      <c r="Q35" s="72"/>
      <c r="R35" s="55">
        <f>R34+N35</f>
        <v>2638.39</v>
      </c>
      <c r="S35" s="56">
        <f>S34+O35</f>
        <v>21195</v>
      </c>
      <c r="T35" s="93">
        <f>T34+P35</f>
        <v>203.6</v>
      </c>
      <c r="U35" s="72"/>
      <c r="V35" s="55">
        <f>V34+R35</f>
        <v>3297.5</v>
      </c>
      <c r="W35" s="56">
        <f>W34+S35</f>
        <v>31327</v>
      </c>
      <c r="X35" s="93">
        <f>X34+T35</f>
        <v>243.2</v>
      </c>
      <c r="Y35" s="72"/>
      <c r="Z35" s="55">
        <f>Z34+V35</f>
        <v>3982.92</v>
      </c>
      <c r="AA35" s="56">
        <f>AA34+W35</f>
        <v>35968</v>
      </c>
      <c r="AB35" s="93">
        <f>AB34+X35</f>
        <v>277.2</v>
      </c>
      <c r="AC35" s="72"/>
      <c r="AD35" s="55">
        <f>AD34+Z35</f>
        <v>4663.32</v>
      </c>
      <c r="AE35" s="56">
        <f>AE34+AA35</f>
        <v>41593</v>
      </c>
      <c r="AF35" s="93">
        <f>AF34+AB35</f>
        <v>307.2</v>
      </c>
      <c r="AG35" s="72"/>
      <c r="AH35" s="100">
        <f>AH34+AD35</f>
        <v>5229.74</v>
      </c>
      <c r="AI35" s="56">
        <f>AI34+AE35</f>
        <v>45636</v>
      </c>
      <c r="AJ35" s="93">
        <f>AJ34+AF35</f>
        <v>321.2</v>
      </c>
      <c r="AK35" s="72"/>
      <c r="AL35" s="55">
        <f>AL34+AH35</f>
        <v>5897.66</v>
      </c>
      <c r="AM35" s="56">
        <f>AM34+AI35</f>
        <v>48184</v>
      </c>
      <c r="AN35" s="93">
        <f>AN34+AJ35</f>
        <v>335.2</v>
      </c>
      <c r="AO35" s="72"/>
      <c r="AP35" s="55">
        <f>AP34+AL35</f>
        <v>6358.16</v>
      </c>
      <c r="AQ35" s="56">
        <f>AQ34+AM35</f>
        <v>50334</v>
      </c>
      <c r="AR35" s="93">
        <f>AR34+AN35</f>
        <v>388</v>
      </c>
      <c r="AS35" s="72"/>
      <c r="AT35" s="55">
        <f>AT34+AP35</f>
        <v>6735.92</v>
      </c>
      <c r="AU35" s="56">
        <f>AU34+AQ35</f>
        <v>52549</v>
      </c>
      <c r="AV35" s="93">
        <f>AV34+AR35</f>
        <v>487.6</v>
      </c>
      <c r="AW35" s="106"/>
    </row>
    <row r="36" spans="1:49" s="54" customFormat="1" ht="11.25" x14ac:dyDescent="0.2">
      <c r="A36" s="54" t="s">
        <v>152</v>
      </c>
      <c r="B36" s="52">
        <f>MAX(B3:B33)</f>
        <v>20.67</v>
      </c>
      <c r="C36" s="60">
        <f>MAX(C3:C33)</f>
        <v>350</v>
      </c>
      <c r="D36" s="188">
        <f>MAX(D3:D33)</f>
        <v>1.3888888888888888E-2</v>
      </c>
      <c r="E36" s="73"/>
      <c r="F36" s="52">
        <f>MAX(F3:F33)</f>
        <v>61.1</v>
      </c>
      <c r="G36" s="60">
        <f>MAX(G3:G33)</f>
        <v>593</v>
      </c>
      <c r="H36" s="188">
        <f>MAX(H3:H33)</f>
        <v>6.9444444444444434E-2</v>
      </c>
      <c r="I36" s="73"/>
      <c r="J36" s="52">
        <f>MAX(J3:J33)</f>
        <v>84.039999999999992</v>
      </c>
      <c r="K36" s="60">
        <f>MAX(K3:K33)</f>
        <v>1965</v>
      </c>
      <c r="L36" s="188">
        <f>MAX(L3:L33)</f>
        <v>1.7361111111111112E-2</v>
      </c>
      <c r="M36" s="73"/>
      <c r="N36" s="52">
        <f>MAX(N3:N33)</f>
        <v>56.289999999999992</v>
      </c>
      <c r="O36" s="60">
        <f>MAX(O3:O33)</f>
        <v>1084</v>
      </c>
      <c r="P36" s="188">
        <f>MAX(P3:P33)</f>
        <v>1.7361111111111112E-2</v>
      </c>
      <c r="Q36" s="73"/>
      <c r="R36" s="52">
        <f>MAX(R3:R33)</f>
        <v>66.210000000000008</v>
      </c>
      <c r="S36" s="60">
        <f>MAX(S3:S33)</f>
        <v>1130</v>
      </c>
      <c r="T36" s="188">
        <f>MAX(T3:T33)</f>
        <v>2.5694444444444447E-2</v>
      </c>
      <c r="U36" s="73"/>
      <c r="V36" s="52">
        <f>MAX(V3:V33)</f>
        <v>91</v>
      </c>
      <c r="W36" s="60">
        <f>MAX(W3:W33)</f>
        <v>1530</v>
      </c>
      <c r="X36" s="188">
        <f>MAX(X3:X33)</f>
        <v>2.4305555555555556E-2</v>
      </c>
      <c r="Y36" s="73"/>
      <c r="Z36" s="52">
        <f>MAX(Z3:Z33)</f>
        <v>80</v>
      </c>
      <c r="AA36" s="60">
        <f>MAX(AA3:AA33)</f>
        <v>800</v>
      </c>
      <c r="AB36" s="188">
        <f>MAX(AB3:AB33)</f>
        <v>2.7777777777777776E-2</v>
      </c>
      <c r="AC36" s="73"/>
      <c r="AD36" s="52">
        <f>MAX(AD3:AD33)</f>
        <v>81.490000000000009</v>
      </c>
      <c r="AE36" s="60">
        <f>MAX(AE3:AE33)</f>
        <v>1265</v>
      </c>
      <c r="AF36" s="188">
        <f>MAX(AF3:AF33)</f>
        <v>2.7777777777777776E-2</v>
      </c>
      <c r="AG36" s="73"/>
      <c r="AH36" s="52">
        <f>MAX(AH3:AH33)</f>
        <v>52.169999999999995</v>
      </c>
      <c r="AI36" s="60">
        <f>MAX(AI3:AI33)</f>
        <v>755</v>
      </c>
      <c r="AJ36" s="188">
        <f>MAX(AJ3:AJ33)</f>
        <v>1.3888888888888888E-2</v>
      </c>
      <c r="AK36" s="73"/>
      <c r="AL36" s="52">
        <f>MAX(AL3:AL33)</f>
        <v>60.62</v>
      </c>
      <c r="AM36" s="60">
        <f>MAX(AM3:AM33)</f>
        <v>465</v>
      </c>
      <c r="AN36" s="188">
        <f>MAX(AN3:AN33)</f>
        <v>1.3888888888888888E-2</v>
      </c>
      <c r="AO36" s="73"/>
      <c r="AP36" s="52">
        <f>MAX(AP3:AP33)</f>
        <v>61.3</v>
      </c>
      <c r="AQ36" s="60">
        <f>MAX(AQ3:AQ33)</f>
        <v>396</v>
      </c>
      <c r="AR36" s="188">
        <f>MAX(AR3:AR33)</f>
        <v>4.8611111111111112E-2</v>
      </c>
      <c r="AS36" s="73"/>
      <c r="AT36" s="52">
        <f>MAX(AT3:AT33)</f>
        <v>30.4</v>
      </c>
      <c r="AU36" s="60">
        <f>MAX(AU3:AU33)</f>
        <v>750</v>
      </c>
      <c r="AV36" s="188">
        <f>MAX(AV3:AV33)</f>
        <v>4.1666666666666664E-2</v>
      </c>
      <c r="AW36" s="73"/>
    </row>
    <row r="37" spans="1:49" s="54" customFormat="1" ht="11.25" x14ac:dyDescent="0.2">
      <c r="A37" s="54" t="s">
        <v>348</v>
      </c>
      <c r="B37" s="59">
        <f>IFERROR(AVERAGE(B3:B33),0)</f>
        <v>11.103636363636364</v>
      </c>
      <c r="C37" s="60">
        <f>IFERROR(AVERAGE(C3:C33),0)</f>
        <v>76.181818181818187</v>
      </c>
      <c r="D37" s="188">
        <f>IFERROR(AVERAGE(D3:D33),0)</f>
        <v>1.2731481481481481E-2</v>
      </c>
      <c r="E37" s="73"/>
      <c r="F37" s="59">
        <f>IFERROR(AVERAGE(F3:F33),0)</f>
        <v>21.5748</v>
      </c>
      <c r="G37" s="60">
        <f>IFERROR(AVERAGE(G3:G33),0)</f>
        <v>151.72</v>
      </c>
      <c r="H37" s="188">
        <f>IFERROR(AVERAGE(H3:H33),0)</f>
        <v>4.4270833333333329E-2</v>
      </c>
      <c r="I37" s="73"/>
      <c r="J37" s="59">
        <f>IFERROR(AVERAGE(J3:J33),0)</f>
        <v>21.055862068965517</v>
      </c>
      <c r="K37" s="60">
        <f>IFERROR(AVERAGE(K3:K33),0)</f>
        <v>174.75862068965517</v>
      </c>
      <c r="L37" s="188">
        <f>IFERROR(AVERAGE(L3:L33),0)</f>
        <v>1.5625E-2</v>
      </c>
      <c r="M37" s="73"/>
      <c r="N37" s="59">
        <f>IFERROR(AVERAGE(N3:N33),0)</f>
        <v>19.535555555555554</v>
      </c>
      <c r="O37" s="60">
        <f>IFERROR(AVERAGE(O3:O33),0)</f>
        <v>159.11111111111111</v>
      </c>
      <c r="P37" s="188">
        <f>IFERROR(AVERAGE(P3:P33),0)</f>
        <v>1.1284722222222222E-2</v>
      </c>
      <c r="Q37" s="73"/>
      <c r="R37" s="59">
        <f>IFERROR(AVERAGE(R3:R33),0)</f>
        <v>23.118064516129031</v>
      </c>
      <c r="S37" s="60">
        <f>IFERROR(AVERAGE(S3:S33),0)</f>
        <v>205.2258064516129</v>
      </c>
      <c r="T37" s="188">
        <f>IFERROR(AVERAGE(T3:T33),0)</f>
        <v>1.2361111111111111E-2</v>
      </c>
      <c r="U37" s="73"/>
      <c r="V37" s="59">
        <f>IFERROR(AVERAGE(V3:V33),0)</f>
        <v>26.364399999999996</v>
      </c>
      <c r="W37" s="60">
        <f>IFERROR(AVERAGE(W3:W33),0)</f>
        <v>405.28</v>
      </c>
      <c r="X37" s="188">
        <f>IFERROR(AVERAGE(X3:X33),0)</f>
        <v>2.2916666666666669E-2</v>
      </c>
      <c r="Y37" s="73"/>
      <c r="Z37" s="59">
        <f>IFERROR(AVERAGE(Z3:Z33),0)</f>
        <v>22.847333333333331</v>
      </c>
      <c r="AA37" s="60">
        <f>IFERROR(AVERAGE(AA3:AA33),0)</f>
        <v>154.69999999999999</v>
      </c>
      <c r="AB37" s="188">
        <f>IFERROR(AVERAGE(AB3:AB33),0)</f>
        <v>1.9675925925925927E-2</v>
      </c>
      <c r="AC37" s="73"/>
      <c r="AD37" s="59">
        <f>IFERROR(AVERAGE(AD3:AD33),0)</f>
        <v>22.68</v>
      </c>
      <c r="AE37" s="60">
        <f>IFERROR(AVERAGE(AE3:AE33),0)</f>
        <v>187.5</v>
      </c>
      <c r="AF37" s="188">
        <f>IFERROR(AVERAGE(AF3:AF33),0)</f>
        <v>2.6041666666666664E-2</v>
      </c>
      <c r="AG37" s="73"/>
      <c r="AH37" s="59">
        <f>IFERROR(AVERAGE(AH3:AH33),0)</f>
        <v>19.531724137931032</v>
      </c>
      <c r="AI37" s="60">
        <f>IFERROR(AVERAGE(AI3:AI33),0)</f>
        <v>139.41379310344828</v>
      </c>
      <c r="AJ37" s="188">
        <f>IFERROR(AVERAGE(AJ3:AJ33),0)</f>
        <v>1.2152777777777776E-2</v>
      </c>
      <c r="AK37" s="73"/>
      <c r="AL37" s="59">
        <f>IFERROR(AVERAGE(AL3:AL33),0)</f>
        <v>21.545806451612908</v>
      </c>
      <c r="AM37" s="60">
        <f>IFERROR(AVERAGE(AM3:AM33),0)</f>
        <v>82.193548387096769</v>
      </c>
      <c r="AN37" s="188">
        <f>IFERROR(AVERAGE(AN3:AN33),0)</f>
        <v>1.2152777777777776E-2</v>
      </c>
      <c r="AO37" s="73"/>
      <c r="AP37" s="59">
        <f>IFERROR(AVERAGE(AP3:AP33),0)</f>
        <v>15.879310344827591</v>
      </c>
      <c r="AQ37" s="60">
        <f>IFERROR(AVERAGE(AQ3:AQ33),0)</f>
        <v>74.137931034482762</v>
      </c>
      <c r="AR37" s="188">
        <f>IFERROR(AVERAGE(AR3:AR33),0)</f>
        <v>1.8333333333333333E-2</v>
      </c>
      <c r="AS37" s="73"/>
      <c r="AT37" s="59">
        <f>IFERROR(AVERAGE(AT3:AT33),0)</f>
        <v>13.991111111111106</v>
      </c>
      <c r="AU37" s="60">
        <f>IFERROR(AVERAGE(AU3:AU33),0)</f>
        <v>82.037037037037038</v>
      </c>
      <c r="AV37" s="188">
        <f>IFERROR(AVERAGE(AV3:AV33),0)</f>
        <v>1.7291666666666664E-2</v>
      </c>
      <c r="AW37" s="73"/>
    </row>
    <row r="38" spans="1:49" s="54" customFormat="1" ht="11.25" x14ac:dyDescent="0.2">
      <c r="A38" s="54" t="s">
        <v>241</v>
      </c>
      <c r="B38" s="59">
        <f>B34-'16'!B34</f>
        <v>-125.79999999999998</v>
      </c>
      <c r="C38" s="91">
        <f>C34-'16'!C34</f>
        <v>515</v>
      </c>
      <c r="D38" s="119">
        <f>IF(B34+D34=0,0,D34/(B34+D34))</f>
        <v>8.2619798708126788E-2</v>
      </c>
      <c r="E38" s="73"/>
      <c r="F38" s="59">
        <f>F34-'16'!F34</f>
        <v>-30.310000000000059</v>
      </c>
      <c r="G38" s="91">
        <f>G34-'16'!G34</f>
        <v>160</v>
      </c>
      <c r="H38" s="119">
        <f>IF(F34+H34=0,0,H34/(F34+H34))</f>
        <v>0.15903456663080592</v>
      </c>
      <c r="I38" s="73"/>
      <c r="J38" s="59">
        <f>J34-'16'!J34</f>
        <v>41.200000000000159</v>
      </c>
      <c r="K38" s="91">
        <f>K34-'16'!K34</f>
        <v>2495</v>
      </c>
      <c r="L38" s="119">
        <f>IF(J34+L34=0,0,L34/(J34+L34))</f>
        <v>2.8634150997422926E-2</v>
      </c>
      <c r="M38" s="73"/>
      <c r="N38" s="59">
        <f>N34-'16'!N34</f>
        <v>-74.469999999999914</v>
      </c>
      <c r="O38" s="91">
        <f>O34-'16'!O34</f>
        <v>-631</v>
      </c>
      <c r="P38" s="119">
        <f>IF(N34+P34=0,0,P34/(N34+P34))</f>
        <v>4.6977197990821389E-2</v>
      </c>
      <c r="Q38" s="73"/>
      <c r="R38" s="59">
        <f>R34-'16'!R34</f>
        <v>18.039999999999964</v>
      </c>
      <c r="S38" s="91">
        <f>S34-'16'!S34</f>
        <v>-1564</v>
      </c>
      <c r="T38" s="119">
        <f>IF(R34+T34=0,0,T34/(R34+T34))</f>
        <v>4.7324063488687423E-2</v>
      </c>
      <c r="U38" s="73"/>
      <c r="V38" s="59">
        <f>V34-'16'!V34</f>
        <v>-31.930000000000177</v>
      </c>
      <c r="W38" s="91">
        <f>W34-'16'!W34</f>
        <v>6865</v>
      </c>
      <c r="X38" s="119">
        <f>IF(V34+X34=0,0,X34/(V34+X34))</f>
        <v>5.6675874110861453E-2</v>
      </c>
      <c r="Y38" s="73"/>
      <c r="Z38" s="59">
        <f>Z34-'16'!Z34</f>
        <v>143.94500000000005</v>
      </c>
      <c r="AA38" s="91">
        <f>AA34-'16'!AA34</f>
        <v>-1042</v>
      </c>
      <c r="AB38" s="119">
        <f>IF(Z34+AB34=0,0,AB34/(Z34+AB34))</f>
        <v>4.7260293013816686E-2</v>
      </c>
      <c r="AC38" s="73"/>
      <c r="AD38" s="59">
        <f>AD34-'16'!AD34</f>
        <v>-233.25999999999976</v>
      </c>
      <c r="AE38" s="91">
        <f>AE34-'16'!AE34</f>
        <v>-6238</v>
      </c>
      <c r="AF38" s="119">
        <f>IF(AD34+AF34=0,0,AF34/(AD34+AF34))</f>
        <v>4.2229729729729729E-2</v>
      </c>
      <c r="AG38" s="73"/>
      <c r="AH38" s="59">
        <f>AH34-'16'!AH34</f>
        <v>-149.11000000000013</v>
      </c>
      <c r="AI38" s="91">
        <f>AI34-'16'!AI34</f>
        <v>-1918</v>
      </c>
      <c r="AJ38" s="119">
        <f>IF(AH34+AJ34=0,0,AJ34/(AH34+AJ34))</f>
        <v>2.4120464491230488E-2</v>
      </c>
      <c r="AK38" s="73"/>
      <c r="AL38" s="59">
        <f>AL34-'16'!AL34</f>
        <v>-38.799999999999841</v>
      </c>
      <c r="AM38" s="91">
        <f>AM34-'16'!AM34</f>
        <v>-2083</v>
      </c>
      <c r="AN38" s="119">
        <f>IF(AL34+AN34=0,0,AN34/(AL34+AN34))</f>
        <v>2.0530267480056305E-2</v>
      </c>
      <c r="AO38" s="73"/>
      <c r="AP38" s="59">
        <f>AP34-'16'!AP34</f>
        <v>-202.08999999999969</v>
      </c>
      <c r="AQ38" s="91">
        <f>AQ34-'16'!AQ34</f>
        <v>-552</v>
      </c>
      <c r="AR38" s="119">
        <f>IF(AP34+AR34=0,0,AR34/(AP34+AR34))</f>
        <v>0.10286382232612507</v>
      </c>
      <c r="AS38" s="73"/>
      <c r="AT38" s="59">
        <f>AT34-'16'!AT34</f>
        <v>-176.83000000000027</v>
      </c>
      <c r="AU38" s="91">
        <f>AU34-'16'!AU34</f>
        <v>-1858</v>
      </c>
      <c r="AV38" s="119">
        <f>IF(AT34+AV34=0,0,AV34/(AT34+AV34))</f>
        <v>0.2086475615887381</v>
      </c>
      <c r="AW38" s="73"/>
    </row>
    <row r="39" spans="1:49" s="1" customFormat="1" x14ac:dyDescent="0.2">
      <c r="A39" s="51" t="s">
        <v>158</v>
      </c>
      <c r="B39" s="177" t="s">
        <v>242</v>
      </c>
      <c r="C39" s="178">
        <v>24</v>
      </c>
      <c r="D39" s="189">
        <v>4.1666666666666664E-2</v>
      </c>
      <c r="E39" s="205"/>
      <c r="G39" s="324"/>
      <c r="H39" s="206"/>
      <c r="I39" s="205"/>
      <c r="J39" s="55">
        <f>SUM(B34,F34,J34)</f>
        <v>1394.27</v>
      </c>
      <c r="K39" s="56">
        <f t="shared" ref="K39:L39" si="12">SUM(C34,G34,K34)</f>
        <v>10537</v>
      </c>
      <c r="L39" s="207">
        <f t="shared" si="12"/>
        <v>142</v>
      </c>
      <c r="M39" s="205"/>
      <c r="P39" s="206"/>
      <c r="Q39" s="205"/>
      <c r="T39" s="206"/>
      <c r="U39" s="205"/>
      <c r="V39" s="55">
        <f>SUM(N34,R34,V34)</f>
        <v>1903.2299999999998</v>
      </c>
      <c r="W39" s="56">
        <f>SUM(O34,S34,W34)</f>
        <v>20790</v>
      </c>
      <c r="X39" s="207">
        <f>SUM(P34,T34,X34)</f>
        <v>101.20000000000002</v>
      </c>
      <c r="Y39" s="205"/>
      <c r="AB39" s="206"/>
      <c r="AC39" s="205"/>
      <c r="AF39" s="206"/>
      <c r="AG39" s="205"/>
      <c r="AH39" s="100">
        <f>SUM(Z34,AD34,AH34)</f>
        <v>1932.2399999999998</v>
      </c>
      <c r="AI39" s="56">
        <f>SUM(AA34,AE34,AI34)</f>
        <v>14309</v>
      </c>
      <c r="AJ39" s="207">
        <f>SUM(AB34,AF34,AJ34)</f>
        <v>78</v>
      </c>
      <c r="AK39" s="205"/>
      <c r="AN39" s="206"/>
      <c r="AO39" s="205"/>
      <c r="AR39" s="206"/>
      <c r="AS39" s="205"/>
      <c r="AT39" s="55">
        <f>SUM(AL34,AP34,AT34)</f>
        <v>1506.1800000000003</v>
      </c>
      <c r="AU39" s="56">
        <f>SUM(AM34,AQ34,AU34)</f>
        <v>6913</v>
      </c>
      <c r="AV39" s="207">
        <f>SUM(AN34,AR34,AV34)</f>
        <v>166.39999999999998</v>
      </c>
      <c r="AW39" s="205"/>
    </row>
    <row r="40" spans="1:49" s="54" customFormat="1" ht="11.25" x14ac:dyDescent="0.2">
      <c r="A40" s="54" t="s">
        <v>347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17.911432810867293</v>
      </c>
      <c r="K40" s="60">
        <f>IFERROR(AVERAGE(C37,G37,K37),0)</f>
        <v>134.22014629049113</v>
      </c>
      <c r="L40" s="188">
        <f>IFERROR(AVERAGE(D37,H37,L37),0)</f>
        <v>2.4209104938271605E-2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23.006006690561531</v>
      </c>
      <c r="W40" s="60">
        <f>IFERROR(AVERAGE(O37,S37,W37),0)</f>
        <v>256.53897252090798</v>
      </c>
      <c r="X40" s="188">
        <f>IFERROR(AVERAGE(P37,T37,X37),0)</f>
        <v>1.5520833333333333E-2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21.686352490421456</v>
      </c>
      <c r="AI40" s="60">
        <f>IFERROR(AVERAGE(AA37,AE37,AI37),0)</f>
        <v>160.53793103448277</v>
      </c>
      <c r="AJ40" s="188">
        <f>IFERROR(AVERAGE(AB37,AF37,AJ37),0)</f>
        <v>1.9290123456790122E-2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17.138742635850534</v>
      </c>
      <c r="AU40" s="60">
        <f>IFERROR(AVERAGE(AM37,AQ37,AU37),0)</f>
        <v>79.456172152872185</v>
      </c>
      <c r="AV40" s="188">
        <f>IFERROR(AVERAGE(AN37,AR37,AV37),0)</f>
        <v>1.5925925925925923E-2</v>
      </c>
      <c r="AW40" s="73"/>
    </row>
    <row r="41" spans="1:49" s="118" customFormat="1" ht="11.25" x14ac:dyDescent="0.2">
      <c r="A41" s="115" t="s">
        <v>225</v>
      </c>
      <c r="B41" s="109">
        <f>RANK(B34,(B34,F34,J34,N34,R34,V34,Z34,AD34,AH34,AL34,AP34,AT34))</f>
        <v>12</v>
      </c>
      <c r="C41" s="110">
        <f>RANK(C34,(C34,G34,K34,O34,S34,W34,AA34,AE34,AI34,AM34,AQ34,AU34))</f>
        <v>12</v>
      </c>
      <c r="D41" s="116">
        <f>RANK(D34,(D34,H34,L34,P34,T34,X34,AB34,AF34,AJ34,AN34,AR34,AV34))</f>
        <v>9</v>
      </c>
      <c r="E41" s="117"/>
      <c r="F41" s="109">
        <f>RANK(F34,(B34,F34,J34,N34,R34,V34,Z34,AD34,AH34,AL34,AP34,AT34))</f>
        <v>8</v>
      </c>
      <c r="G41" s="110">
        <f>RANK(G34,(C34,G34,K34,O34,S34,W34,AA34,AE34,AI34,AM34,AQ34,AU34))</f>
        <v>8</v>
      </c>
      <c r="H41" s="116">
        <f>RANK(H34,(D34,H34,L34,P34,T34,X34,AB34,AF34,AJ34,AN34,AR34,AV34))</f>
        <v>1</v>
      </c>
      <c r="I41" s="117"/>
      <c r="J41" s="109">
        <f>RANK(J34,(B34,F34,J34,N34,R34,V34,Z34,AD34,AH34,AL34,AP34,AT34))</f>
        <v>6</v>
      </c>
      <c r="K41" s="110">
        <f>RANK(K34,(C34,G34,K34,O34,S34,W34,AA34,AE34,AI34,AM34,AQ34,AU34))</f>
        <v>4</v>
      </c>
      <c r="L41" s="116">
        <f>RANK(L34,(D34,H34,L34,P34,T34,X34,AB34,AF34,AJ34,AN34,AR34,AV34))</f>
        <v>10</v>
      </c>
      <c r="M41" s="117"/>
      <c r="N41" s="109">
        <f>RANK(N34,(B34,F34,J34,N34,R34,V34,Z34,AD34,AH34,AL34,AP34,AT34))</f>
        <v>9</v>
      </c>
      <c r="O41" s="110">
        <f>RANK(O34,(C34,G34,K34,O34,S34,W34,AA34,AE34,AI34,AM34,AQ34,AU34))</f>
        <v>6</v>
      </c>
      <c r="P41" s="116">
        <f>RANK(P34,(D34,H34,L34,P34,T34,X34,AB34,AF34,AJ34,AN34,AR34,AV34))</f>
        <v>8</v>
      </c>
      <c r="Q41" s="117"/>
      <c r="R41" s="109">
        <f>RANK(R34,(B34,F34,J34,N34,R34,V34,Z34,AD34,AH34,AL34,AP34,AT34))</f>
        <v>1</v>
      </c>
      <c r="S41" s="110">
        <f>RANK(S34,(C34,G34,K34,O34,S34,W34,AA34,AE34,AI34,AM34,AQ34,AU34))</f>
        <v>2</v>
      </c>
      <c r="T41" s="116">
        <f>RANK(T34,(D34,H34,L34,P34,T34,X34,AB34,AF34,AJ34,AN34,AR34,AV34))</f>
        <v>5</v>
      </c>
      <c r="U41" s="117"/>
      <c r="V41" s="109">
        <f>RANK(V34,(B34,F34,J34,N34,R34,V34,Z34,AD34,AH34,AL34,AP34,AT34))</f>
        <v>5</v>
      </c>
      <c r="W41" s="110">
        <f>RANK(W34,(C34,G34,K34,O34,S34,W34,AA34,AE34,AI34,AM34,AQ34,AU34))</f>
        <v>1</v>
      </c>
      <c r="X41" s="116">
        <f>RANK(X34,(D34,H34,L34,P34,T34,X34,AB34,AF34,AJ34,AN34,AR34,AV34))</f>
        <v>4</v>
      </c>
      <c r="Y41" s="117"/>
      <c r="Z41" s="109">
        <f>RANK(Z34,(B34,F34,J34,N34,R34,V34,Z34,AD34,AH34,AL34,AP34,AT34))</f>
        <v>2</v>
      </c>
      <c r="AA41" s="110">
        <f>RANK(AA34,(C34,G34,K34,O34,S34,W34,AA34,AE34,AI34,AM34,AQ34,AU34))</f>
        <v>5</v>
      </c>
      <c r="AB41" s="116">
        <f>RANK(AB34,(D34,H34,L34,P34,T34,X34,AB34,AF34,AJ34,AN34,AR34,AV34))</f>
        <v>6</v>
      </c>
      <c r="AC41" s="117"/>
      <c r="AD41" s="109">
        <f>RANK(AD34,(B34,F34,J34,N34,R34,V34,Z34,AD34,AH34,AL34,AP34,AT34))</f>
        <v>3</v>
      </c>
      <c r="AE41" s="110">
        <f>RANK(AE34,(C34,G34,K34,O34,S34,W34,AA34,AE34,AI34,AM34,AQ34,AU34))</f>
        <v>3</v>
      </c>
      <c r="AF41" s="116">
        <f>RANK(AF34,(D34,H34,L34,P34,T34,X34,AB34,AF34,AJ34,AN34,AR34,AV34))</f>
        <v>7</v>
      </c>
      <c r="AG41" s="117"/>
      <c r="AH41" s="109">
        <f>RANK(AH34,(B34,F34,J34,N34,R34,V34,Z34,AD34,AH34,AL34,AP34,AT34))</f>
        <v>7</v>
      </c>
      <c r="AI41" s="110">
        <f>RANK(AI34,(C34,G34,K34,O34,S34,W34,AA34,AE34,AI34,AM34,AQ34,AU34))</f>
        <v>7</v>
      </c>
      <c r="AJ41" s="116">
        <f>RANK(AJ34,(D34,H34,L34,P34,T34,X34,AB34,AF34,AJ34,AN34,AR34,AV34))</f>
        <v>11</v>
      </c>
      <c r="AK41" s="117"/>
      <c r="AL41" s="109">
        <f>RANK(AL34,(B34,F34,J34,N34,R34,V34,Z34,AD34,AH34,AL34,AP34,AT34))</f>
        <v>4</v>
      </c>
      <c r="AM41" s="110">
        <f>RANK(AM34,(C34,G34,K34,O34,S34,W34,AA34,AE34,AI34,AM34,AQ34,AU34))</f>
        <v>9</v>
      </c>
      <c r="AN41" s="116">
        <f>RANK(AN34,(D34,H34,L34,P34,T34,X34,AB34,AF34,AJ34,AN34,AR34,AV34))</f>
        <v>11</v>
      </c>
      <c r="AO41" s="117"/>
      <c r="AP41" s="109">
        <f>RANK(AP34,(B34,F34,J34,N34,R34,V34,Z34,AD34,AH34,AL34,AP34,AT34))</f>
        <v>10</v>
      </c>
      <c r="AQ41" s="110">
        <f>RANK(AQ34,(C34,G34,K34,O34,S34,W34,AA34,AE34,AI34,AM34,AQ34,AU34))</f>
        <v>11</v>
      </c>
      <c r="AR41" s="116">
        <f>RANK(AR34,(D34,H34,L34,P34,T34,X34,AB34,AF34,AJ34,AN34,AR34,AV34))</f>
        <v>3</v>
      </c>
      <c r="AS41" s="117"/>
      <c r="AT41" s="109">
        <f>RANK(AT34,(B34,F34,J34,N34,R34,V34,Z34,AD34,AH34,AL34,AP34,AT34))</f>
        <v>11</v>
      </c>
      <c r="AU41" s="110">
        <f>RANK(AU34,(C34,G34,K34,O34,S34,W34,AA34,AE34,AI34,AM34,AQ34,AU34))</f>
        <v>10</v>
      </c>
      <c r="AV41" s="116">
        <f>RANK(AV34,(D34,H34,L34,P34,T34,X34,AB34,AF34,AJ34,AN34,AR34,AV34))</f>
        <v>2</v>
      </c>
      <c r="AW41" s="122"/>
    </row>
    <row r="42" spans="1:49" s="54" customFormat="1" ht="11.25" x14ac:dyDescent="0.2">
      <c r="A42" s="57" t="s">
        <v>218</v>
      </c>
      <c r="B42" s="100">
        <f>T1</f>
        <v>19.935633656925202</v>
      </c>
      <c r="C42" s="101">
        <f>AB1</f>
        <v>157.68830549968854</v>
      </c>
      <c r="D42" s="102"/>
      <c r="E42" s="214" t="s">
        <v>404</v>
      </c>
      <c r="F42" s="215">
        <f>SUM(J23:J33,N3:N33,R3:R33,V3:V33,Z3:Z33,AD3:AD33,AH3:AH23)</f>
        <v>3834.8000000000011</v>
      </c>
      <c r="G42" s="216">
        <f>SUM(K23:K33,O3:O32,S3:S33,W3:W32,AA3:AA33,AE3:AE33,AI3:AI23)</f>
        <v>35644</v>
      </c>
      <c r="H42" s="217"/>
      <c r="I42" s="217"/>
      <c r="J42" s="218">
        <f>IFERROR(F42/(F42+F43),0)</f>
        <v>0.5693060487654249</v>
      </c>
      <c r="K42" s="218">
        <f>IFERROR(G42/(G42+G43),0)</f>
        <v>0.6783002530971094</v>
      </c>
      <c r="L42" s="217"/>
      <c r="M42" s="309" t="s">
        <v>606</v>
      </c>
      <c r="N42" s="307">
        <v>76</v>
      </c>
      <c r="O42" s="91">
        <f>N42-'16'!N42</f>
        <v>30</v>
      </c>
      <c r="Y42" s="173"/>
      <c r="AK42" s="255" t="s">
        <v>484</v>
      </c>
      <c r="AL42" s="52">
        <f>MAX(B34,F34,J34,N34,R34,V34,Z34,AD34,AH34,AL34,AP34,AT34)</f>
        <v>716.66</v>
      </c>
      <c r="AM42" s="256">
        <f>MAX(C34,G34,K34,O34,S34,W34,AA34,AE34,AI34,AM34,AQ34,AU34)</f>
        <v>10132</v>
      </c>
      <c r="AN42" s="54" t="s">
        <v>351</v>
      </c>
      <c r="AO42" s="253" t="s">
        <v>349</v>
      </c>
      <c r="AP42" s="59">
        <f>R1-'16'!R1</f>
        <v>-125.79999999999998</v>
      </c>
      <c r="AQ42" s="91">
        <f>AF1-'16'!AF1</f>
        <v>515</v>
      </c>
      <c r="AR42" s="54" t="s">
        <v>350</v>
      </c>
      <c r="AS42" s="252" t="s">
        <v>349</v>
      </c>
      <c r="AT42" s="59">
        <f>I1-'16'!I1</f>
        <v>-50.72</v>
      </c>
      <c r="AU42" s="91">
        <f>AN1-'16'!AN1</f>
        <v>-60</v>
      </c>
      <c r="AV42" s="54" t="s">
        <v>351</v>
      </c>
      <c r="AW42" s="73"/>
    </row>
    <row r="43" spans="1:49" s="54" customFormat="1" ht="11.25" x14ac:dyDescent="0.2">
      <c r="A43" s="57" t="s">
        <v>219</v>
      </c>
      <c r="B43" s="100">
        <f>E1/365</f>
        <v>18.454575342465752</v>
      </c>
      <c r="C43" s="101">
        <f>AU1/365</f>
        <v>143.96986301369864</v>
      </c>
      <c r="D43" s="102"/>
      <c r="E43" s="210" t="s">
        <v>405</v>
      </c>
      <c r="F43" s="211">
        <f>E1-F42</f>
        <v>2901.119999999999</v>
      </c>
      <c r="G43" s="212">
        <f>AU1-G42</f>
        <v>16905</v>
      </c>
      <c r="H43" s="213"/>
      <c r="I43" s="213"/>
      <c r="J43" s="219">
        <f>IFERROR(F43/(F42+F43),0)</f>
        <v>0.4306939512345751</v>
      </c>
      <c r="K43" s="219">
        <f>IFERROR(G43/(G42+G43),0)</f>
        <v>0.32169974690289066</v>
      </c>
      <c r="L43" s="213"/>
      <c r="M43" s="71" t="s">
        <v>607</v>
      </c>
      <c r="N43" s="308">
        <v>8</v>
      </c>
      <c r="O43" s="91">
        <f>N43-'16'!N43</f>
        <v>0</v>
      </c>
      <c r="Y43" s="73"/>
      <c r="AK43" s="257" t="s">
        <v>487</v>
      </c>
      <c r="AL43" s="228">
        <f>IF($B$1&lt;&gt;0,$AV$35/$B1,0)</f>
        <v>6.7501716614614488E-2</v>
      </c>
      <c r="AO43" s="254" t="s">
        <v>349</v>
      </c>
      <c r="AP43" s="59">
        <f>AV35-'16'!AV35</f>
        <v>34.800000000000011</v>
      </c>
      <c r="AQ43" s="228">
        <f>AL43-'16'!AL43</f>
        <v>1.1240234917302E-2</v>
      </c>
      <c r="AR43" s="54" t="s">
        <v>208</v>
      </c>
      <c r="AS43" s="252" t="s">
        <v>349</v>
      </c>
      <c r="AT43" s="59">
        <f>B1-'16'!B1</f>
        <v>-824.61499999999887</v>
      </c>
      <c r="AU43" s="91">
        <f>AU1-'16'!AU1</f>
        <v>-5851</v>
      </c>
      <c r="AV43" s="54" t="s">
        <v>352</v>
      </c>
      <c r="AW43" s="73"/>
    </row>
  </sheetData>
  <sheetProtection password="CC70" sheet="1" objects="1" scenarios="1"/>
  <mergeCells count="19">
    <mergeCell ref="AU1:AV1"/>
    <mergeCell ref="AH1:AI1"/>
    <mergeCell ref="AJ1:AK1"/>
    <mergeCell ref="AL1:AM1"/>
    <mergeCell ref="AN1:AO1"/>
    <mergeCell ref="AP1:AQ1"/>
    <mergeCell ref="AR1:AS1"/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</mergeCells>
  <conditionalFormatting sqref="B34 F34 J34 N34 R34 V34 Z34 AD34 AH34 AL34 AP34 AT34">
    <cfRule type="cellIs" dxfId="213" priority="100" operator="equal">
      <formula>$R$1</formula>
    </cfRule>
    <cfRule type="cellIs" dxfId="212" priority="101" operator="equal">
      <formula>$M$1</formula>
    </cfRule>
  </conditionalFormatting>
  <conditionalFormatting sqref="C34 G34 K34 O34 S34 W34 AA34 AE34 AI34 AM34 AQ34 AU34">
    <cfRule type="cellIs" dxfId="211" priority="99" operator="equal">
      <formula>$AF$1</formula>
    </cfRule>
    <cfRule type="cellIs" dxfId="210" priority="102" operator="equal">
      <formula>$AJ$1</formula>
    </cfRule>
  </conditionalFormatting>
  <conditionalFormatting sqref="B38:C38 AT42:AU43 AP42:AQ42 F38:G38 J38:K38 N38:O38 R38:S38 V38:W38 Z38:AA38 AH38:AI38 AL38:AM38 AP38:AQ38 AT38:AU38 AD38:AE38">
    <cfRule type="cellIs" dxfId="209" priority="96" operator="lessThan">
      <formula>0</formula>
    </cfRule>
    <cfRule type="cellIs" dxfId="208" priority="97" operator="greaterThanOrEqual">
      <formula>0</formula>
    </cfRule>
  </conditionalFormatting>
  <conditionalFormatting sqref="C38 AU42:AU43 AQ42 G38 K38 O38 S38 W38 AA38 AE38 AI38 AM38 AQ38 AU38">
    <cfRule type="cellIs" dxfId="207" priority="94" operator="lessThan">
      <formula>0</formula>
    </cfRule>
    <cfRule type="cellIs" dxfId="206" priority="95" operator="greaterThanOrEqual">
      <formula>0</formula>
    </cfRule>
  </conditionalFormatting>
  <conditionalFormatting sqref="D38">
    <cfRule type="cellIs" dxfId="205" priority="87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204" priority="86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203" priority="85" operator="equal">
      <formula>MAX($D$34,$H$34,$L$34,$P$34,$T$34,$X$34,$AB$34,$AF$34,$AJ$34,$AN$34,$AR$34,$AV$34)</formula>
    </cfRule>
  </conditionalFormatting>
  <conditionalFormatting sqref="D36 H36 L36 P36 T36 X36 AB36 AF36 AJ36 AN36 AR36 AV36">
    <cfRule type="cellIs" dxfId="202" priority="70" operator="equal">
      <formula>MAX($D$36,$H$36,$L$36,$P$36,$T$36,$X$36,$AB$36,$AF$36,$AJ$36,$AN$36,$AR$36,$AV$36)</formula>
    </cfRule>
  </conditionalFormatting>
  <conditionalFormatting sqref="AP43">
    <cfRule type="cellIs" dxfId="201" priority="68" operator="lessThan">
      <formula>0</formula>
    </cfRule>
    <cfRule type="cellIs" dxfId="200" priority="69" operator="greaterThanOrEqual">
      <formula>0</formula>
    </cfRule>
  </conditionalFormatting>
  <conditionalFormatting sqref="AQ43">
    <cfRule type="cellIs" dxfId="199" priority="66" stopIfTrue="1" operator="lessThan">
      <formula>0</formula>
    </cfRule>
    <cfRule type="cellIs" dxfId="198" priority="67" operator="greaterThanOrEqual">
      <formula>0</formula>
    </cfRule>
  </conditionalFormatting>
  <conditionalFormatting sqref="AL42">
    <cfRule type="cellIs" dxfId="197" priority="61" stopIfTrue="1" operator="lessThan">
      <formula>1000</formula>
    </cfRule>
    <cfRule type="cellIs" dxfId="196" priority="62" stopIfTrue="1" operator="lessThan">
      <formula>1100</formula>
    </cfRule>
    <cfRule type="cellIs" dxfId="195" priority="63" stopIfTrue="1" operator="lessThan">
      <formula>9999</formula>
    </cfRule>
  </conditionalFormatting>
  <conditionalFormatting sqref="AM42">
    <cfRule type="cellIs" dxfId="194" priority="58" stopIfTrue="1" operator="lessThan">
      <formula>10000</formula>
    </cfRule>
    <cfRule type="cellIs" dxfId="193" priority="59" stopIfTrue="1" operator="lessThan">
      <formula>13000</formula>
    </cfRule>
    <cfRule type="cellIs" dxfId="192" priority="60" stopIfTrue="1" operator="lessThan">
      <formula>99999</formula>
    </cfRule>
  </conditionalFormatting>
  <conditionalFormatting sqref="AL43">
    <cfRule type="cellIs" dxfId="191" priority="55" stopIfTrue="1" operator="lessThan">
      <formula>0.05</formula>
    </cfRule>
    <cfRule type="cellIs" dxfId="190" priority="56" stopIfTrue="1" operator="lessThan">
      <formula>0.1</formula>
    </cfRule>
    <cfRule type="cellIs" dxfId="189" priority="57" stopIfTrue="1" operator="lessThanOrEqual">
      <formula>1</formula>
    </cfRule>
  </conditionalFormatting>
  <conditionalFormatting sqref="H3:H33 L3:L33 T3:T33 X3:X33 AB3:AB33 AF3:AF33 AJ3:AJ33 AN3:AN33 AR3:AR33 AV3:AV33 D3:D33 P3:P33">
    <cfRule type="cellIs" dxfId="188" priority="82" stopIfTrue="1" operator="between">
      <formula>0</formula>
      <formula>0.0416550925925926</formula>
    </cfRule>
    <cfRule type="cellIs" dxfId="187" priority="83" stopIfTrue="1" operator="between">
      <formula>0.0416666666666667</formula>
      <formula>0.0833217592592593</formula>
    </cfRule>
    <cfRule type="cellIs" dxfId="186" priority="84" stopIfTrue="1" operator="between">
      <formula>0.0833333333333333</formula>
      <formula>4.16665509259259</formula>
    </cfRule>
  </conditionalFormatting>
  <conditionalFormatting sqref="C3:C33 G3:G33 K3:K33 S3:S33 W3:W33 AA3:AA33 AU3:AU33 AI3:AI33 AM3:AM33 AQ3:AQ33 AE3:AE33 O3:O33">
    <cfRule type="cellIs" dxfId="185" priority="88" stopIfTrue="1" operator="between">
      <formula>0</formula>
      <formula>749.99</formula>
    </cfRule>
    <cfRule type="cellIs" dxfId="184" priority="89" stopIfTrue="1" operator="greaterThanOrEqual">
      <formula>1500</formula>
    </cfRule>
    <cfRule type="cellIs" dxfId="183" priority="90" operator="greaterThanOrEqual">
      <formula>750</formula>
    </cfRule>
  </conditionalFormatting>
  <conditionalFormatting sqref="B3:B33 F3:F33 J3:J33 R3:R33 V3:V33 Z3:Z33 AT3:AT33 AH3:AH33 AL3:AL33 AP3:AP33 N3:N33 AD3:AD33">
    <cfRule type="cellIs" dxfId="182" priority="91" stopIfTrue="1" operator="lessThan">
      <formula>50</formula>
    </cfRule>
    <cfRule type="cellIs" dxfId="181" priority="92" stopIfTrue="1" operator="greaterThanOrEqual">
      <formula>100</formula>
    </cfRule>
    <cfRule type="cellIs" dxfId="180" priority="93" operator="greaterThanOrEqual">
      <formula>50</formula>
    </cfRule>
  </conditionalFormatting>
  <conditionalFormatting sqref="O42">
    <cfRule type="cellIs" dxfId="179" priority="7" operator="lessThan">
      <formula>0</formula>
    </cfRule>
    <cfRule type="cellIs" dxfId="178" priority="8" operator="greaterThanOrEqual">
      <formula>0</formula>
    </cfRule>
  </conditionalFormatting>
  <conditionalFormatting sqref="O42">
    <cfRule type="cellIs" dxfId="177" priority="5" operator="lessThan">
      <formula>0</formula>
    </cfRule>
    <cfRule type="cellIs" dxfId="176" priority="6" operator="greaterThanOrEqual">
      <formula>0</formula>
    </cfRule>
  </conditionalFormatting>
  <conditionalFormatting sqref="O43">
    <cfRule type="cellIs" dxfId="175" priority="3" operator="lessThan">
      <formula>0</formula>
    </cfRule>
    <cfRule type="cellIs" dxfId="174" priority="4" operator="greaterThanOrEqual">
      <formula>0</formula>
    </cfRule>
  </conditionalFormatting>
  <conditionalFormatting sqref="O43">
    <cfRule type="cellIs" dxfId="173" priority="1" operator="lessThan">
      <formula>0</formula>
    </cfRule>
    <cfRule type="cellIs" dxfId="172" priority="2" operator="greaterThanOrEqual">
      <formula>0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0" operator="equal" id="{379D85F9-98BE-4B44-B306-C34BCA981BC9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41" operator="equal" id="{124AA899-C781-43F1-9252-F7176F524D2B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81" operator="equal" id="{558F95AE-8787-4D37-91A8-D27813442AB8}">
            <xm:f>MAX( '13'!$C$34,$C$34)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80" operator="equal" id="{545824E0-1171-4947-B000-994E0F8E8943}">
            <xm:f>MAX( '14'!$G$34,$G$34)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79" operator="equal" id="{1086DC02-02A0-4F68-8673-04694C713084}">
            <xm:f>MAX( '14'!$K$34,$K$34)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78" operator="equal" id="{16493917-7028-4424-9D7C-A35BDD4FB2F6}">
            <xm:f>MAX( '12'!$O$34,$O$34)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77" operator="equal" id="{C8069C43-2B75-4ECB-A26E-A2AEA40D83F4}">
            <xm:f>MAX( '12'!$S$34,$S$34)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76" operator="equal" id="{36AA5DE7-337B-46C8-B2FD-235D567F33CD}">
            <xm:f>MAX( '13'!$W$34,$W$34)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75" operator="equal" id="{A5C83277-D114-4F4A-9D75-4E8C9D7FCFD4}">
            <xm:f>MAX( '13'!$AA$34,$AA$34)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74" operator="equal" id="{66753856-59FB-4913-8B4F-7D0F98137DFC}">
            <xm:f>MAX( '12'!$AE$34,$AE$34)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73" operator="equal" id="{705A6B9C-A2F2-428B-9608-2DA2C128C2AC}">
            <xm:f>MAX( 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72" operator="equal" id="{3618C7CE-570D-4125-A446-2D9B1DD9202D}">
            <xm:f>MAX( 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71" operator="equal" id="{75B3DB68-C14F-49AB-8856-6940071A70A1}">
            <xm:f>MAX( '14'!$AQ$34,$AQ$34)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98" operator="equal" id="{7B64F049-29A6-4EB0-AFF5-3D1B11F03485}">
            <xm:f>MAX( '14'!$AU$34,$AU$34)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50" operator="equal" id="{D22D967F-72EA-4A90-AFE4-01CF8D356026}">
            <xm:f>MAX( 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65" operator="equal" id="{C254FE48-1A15-4EF5-9F6D-B7C3E9D2AE65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64" operator="equal" id="{4EDED912-FADD-44D8-AA9B-0B3958BDF00E}">
            <xm:f>stat!$S$5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54" operator="equal" id="{5970EEB5-A56F-4004-BFA8-7AF480B6F90A}">
            <xm:f>MAX($B$1,'12'!$B$1:$C$1)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53" operator="equal" id="{2898AB30-4A59-4AB7-887A-2F3A498B4BF0}">
            <xm:f>MAX( '14'!$B$34,$B$34)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52" operator="equal" id="{A7055D73-AC39-4890-BD25-C99F97EF2BB7}">
            <xm:f>MAX( '14'!$F$34,$F$34)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51" operator="equal" id="{E6E9B8E5-EAFC-4C09-93FF-F38A22CCC26C}">
            <xm:f>MAX( '14'!$J$34,$J$34)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49" operator="equal" id="{87C96925-96C2-4B16-AF78-A8EA57310ECF}">
            <xm:f>MAX( '12'!$R$34,$R$34)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48" operator="equal" id="{B23EDDD9-BD03-461A-A917-F4D307770CF0}">
            <xm:f>MAX('08'!$Q$34,$V$34)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47" operator="equal" id="{B575800A-FB6C-43AF-BD02-273A2AA948F7}">
            <xm:f>MAX( '12'!$Z$34,$Z$34)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46" operator="equal" id="{4AF17106-FBF5-42E7-83C7-820C27F34B8E}">
            <xm:f>MAX( '12'!$AD$34,$AD$34)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45" operator="equal" id="{184811F1-C66E-4BFA-9EB5-40D5BDFE9683}">
            <xm:f>MAX( '13'!$AH$34,$AH$34)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44" operator="equal" id="{E592CD97-C7BA-4DBA-B6B6-9C034479C448}">
            <xm:f>MAX( '13'!$AL$34,$AL$34)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43" operator="equal" id="{3DFD79F7-8508-425A-992F-2EB844471BD5}">
            <xm:f>MAX( '14'!$AP$34,$AP$34)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42" operator="equal" id="{E456AC5D-D954-4D62-B6B6-B5BBCD245AEC}">
            <xm:f>MAX( '15'!$AT$34,$AT$34)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39" operator="equal" id="{99F04A13-0571-41A7-9FAB-134E062386E0}">
            <xm:f>MAX($E$1,'12'!$E$1:$F$1)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38" operator="equal" id="{D7FB3CDA-51FA-49DC-84EB-6FA14CCA38AA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37" operator="equal" id="{69D2D1E1-2E1D-475B-9035-3A4C07CEF629}">
            <xm:f>stat!$N$12</xm:f>
            <x14:dxf>
              <font>
                <b val="0"/>
                <i/>
              </font>
            </x14:dxf>
          </x14:cfRule>
          <xm:sqref>N42</xm:sqref>
        </x14:conditionalFormatting>
        <x14:conditionalFormatting xmlns:xm="http://schemas.microsoft.com/office/excel/2006/main">
          <x14:cfRule type="cellIs" priority="36" operator="equal" id="{E792003D-9889-420D-9ADF-DC9EDFA6F6DC}">
            <xm:f>stat!$N$14</xm:f>
            <x14:dxf>
              <font>
                <b val="0"/>
                <i/>
              </font>
            </x14:dxf>
          </x14:cfRule>
          <xm:sqref>N43</xm:sqref>
        </x14:conditionalFormatting>
        <x14:conditionalFormatting xmlns:xm="http://schemas.microsoft.com/office/excel/2006/main">
          <x14:cfRule type="cellIs" priority="35" operator="equal" id="{EFAE502E-F697-4B61-9046-3639D9667E53}">
            <xm:f>MAX( '15'!$AT$36,$AT$36)</xm:f>
            <x14:dxf>
              <font>
                <b val="0"/>
                <i/>
              </font>
            </x14:dxf>
          </x14:cfRule>
          <xm:sqref>AT36</xm:sqref>
        </x14:conditionalFormatting>
        <x14:conditionalFormatting xmlns:xm="http://schemas.microsoft.com/office/excel/2006/main">
          <x14:cfRule type="cellIs" priority="34" operator="equal" id="{584C41F6-27CD-479D-BD90-DD4E9BB27CD4}">
            <xm:f>MAX( '08'!$AJ$37,$AU$36)</xm:f>
            <x14:dxf>
              <font>
                <b val="0"/>
                <i/>
              </font>
            </x14:dxf>
          </x14:cfRule>
          <xm:sqref>AU36</xm:sqref>
        </x14:conditionalFormatting>
        <x14:conditionalFormatting xmlns:xm="http://schemas.microsoft.com/office/excel/2006/main">
          <x14:cfRule type="cellIs" priority="33" operator="equal" id="{E763E31C-5544-48EC-A1B4-87B5390F0D16}">
            <xm:f>MAX( '14'!$AQ$36,$AQ$36)</xm:f>
            <x14:dxf>
              <font>
                <b val="0"/>
                <i/>
              </font>
            </x14:dxf>
          </x14:cfRule>
          <xm:sqref>AQ36</xm:sqref>
        </x14:conditionalFormatting>
        <x14:conditionalFormatting xmlns:xm="http://schemas.microsoft.com/office/excel/2006/main">
          <x14:cfRule type="cellIs" priority="32" operator="equal" id="{F352921A-DA04-4E47-B828-515A68B34E94}">
            <xm:f>MAX('08'!$AF$37,$AP$36)</xm:f>
            <x14:dxf>
              <font>
                <b val="0"/>
                <i/>
              </font>
            </x14:dxf>
          </x14:cfRule>
          <xm:sqref>AP36</xm:sqref>
        </x14:conditionalFormatting>
        <x14:conditionalFormatting xmlns:xm="http://schemas.microsoft.com/office/excel/2006/main">
          <x14:cfRule type="cellIs" priority="31" operator="equal" id="{48CC5289-E2FB-4517-B316-7CEC6F9673F5}">
            <xm:f>MAX('14'!$AM$36,$AM$36)</xm:f>
            <x14:dxf>
              <font>
                <b val="0"/>
                <i/>
              </font>
            </x14:dxf>
          </x14:cfRule>
          <xm:sqref>AM36</xm:sqref>
        </x14:conditionalFormatting>
        <x14:conditionalFormatting xmlns:xm="http://schemas.microsoft.com/office/excel/2006/main">
          <x14:cfRule type="cellIs" priority="30" operator="equal" id="{B2BFD4E6-7C91-46A4-A85C-9ED45F983323}">
            <xm:f>MAX('09'!$AL$36,$AL$36)</xm:f>
            <x14:dxf>
              <font>
                <b val="0"/>
                <i/>
              </font>
            </x14:dxf>
          </x14:cfRule>
          <xm:sqref>AL36</xm:sqref>
        </x14:conditionalFormatting>
        <x14:conditionalFormatting xmlns:xm="http://schemas.microsoft.com/office/excel/2006/main">
          <x14:cfRule type="cellIs" priority="29" operator="equal" id="{B5F3F82B-6B2A-4536-88F7-902FC2785E50}">
            <xm:f>MAX('11'!$AI$36,$AI$36)</xm:f>
            <x14:dxf>
              <font>
                <b val="0"/>
                <i/>
              </font>
            </x14:dxf>
          </x14:cfRule>
          <xm:sqref>AI36</xm:sqref>
        </x14:conditionalFormatting>
        <x14:conditionalFormatting xmlns:xm="http://schemas.microsoft.com/office/excel/2006/main">
          <x14:cfRule type="cellIs" priority="28" operator="equal" id="{BDF80D3D-12EC-4411-8918-041AF9E270F4}">
            <xm:f>MAX('13'!$AH$36,$AH$36)</xm:f>
            <x14:dxf>
              <font>
                <b val="0"/>
                <i/>
              </font>
            </x14:dxf>
          </x14:cfRule>
          <xm:sqref>AH36</xm:sqref>
        </x14:conditionalFormatting>
        <x14:conditionalFormatting xmlns:xm="http://schemas.microsoft.com/office/excel/2006/main">
          <x14:cfRule type="cellIs" priority="27" operator="equal" id="{9981B7CD-4358-4BB4-AE7A-C0BDB210F805}">
            <xm:f>MAX('12'!$AE$36,$AE$36)</xm:f>
            <x14:dxf>
              <font>
                <b val="0"/>
                <i/>
              </font>
            </x14:dxf>
          </x14:cfRule>
          <xm:sqref>AE36</xm:sqref>
        </x14:conditionalFormatting>
        <x14:conditionalFormatting xmlns:xm="http://schemas.microsoft.com/office/excel/2006/main">
          <x14:cfRule type="cellIs" priority="26" operator="equal" id="{11D4143D-CE11-476E-B279-88B5F1FDB05B}">
            <xm:f>MAX('12'!$AD$36,$AD$36)</xm:f>
            <x14:dxf>
              <font>
                <b val="0"/>
                <i/>
              </font>
            </x14:dxf>
          </x14:cfRule>
          <xm:sqref>AD36</xm:sqref>
        </x14:conditionalFormatting>
        <x14:conditionalFormatting xmlns:xm="http://schemas.microsoft.com/office/excel/2006/main">
          <x14:cfRule type="cellIs" priority="25" operator="equal" id="{60E05775-2653-406D-A8E9-BB4B22BA3BE0}">
            <xm:f>MAX('13'!$AA$36,$AA$36)</xm:f>
            <x14:dxf>
              <font>
                <b val="0"/>
                <i/>
              </font>
            </x14:dxf>
          </x14:cfRule>
          <xm:sqref>AA36</xm:sqref>
        </x14:conditionalFormatting>
        <x14:conditionalFormatting xmlns:xm="http://schemas.microsoft.com/office/excel/2006/main">
          <x14:cfRule type="cellIs" priority="24" operator="equal" id="{5A925535-EC68-4452-9509-44D45DC8F76A}">
            <xm:f>MAX('09'!$Z$36,$Z$36)</xm:f>
            <x14:dxf>
              <font>
                <b val="0"/>
                <i/>
              </font>
            </x14:dxf>
          </x14:cfRule>
          <xm:sqref>Z36</xm:sqref>
        </x14:conditionalFormatting>
        <x14:conditionalFormatting xmlns:xm="http://schemas.microsoft.com/office/excel/2006/main">
          <x14:cfRule type="cellIs" priority="23" operator="equal" id="{E0DB0107-8DBF-48A1-99E8-7017F0310655}">
            <xm:f>MAX('11'!$W$36,$W$36)</xm:f>
            <x14:dxf>
              <font>
                <b val="0"/>
                <i/>
              </font>
            </x14:dxf>
          </x14:cfRule>
          <xm:sqref>W36</xm:sqref>
        </x14:conditionalFormatting>
        <x14:conditionalFormatting xmlns:xm="http://schemas.microsoft.com/office/excel/2006/main">
          <x14:cfRule type="cellIs" priority="22" operator="equal" id="{1E039321-B675-4AAE-BEFB-C33BC107C052}">
            <xm:f>MAX('14'!$V$36,$V$36)</xm:f>
            <x14:dxf>
              <font>
                <b val="0"/>
                <i/>
              </font>
            </x14:dxf>
          </x14:cfRule>
          <xm:sqref>V36</xm:sqref>
        </x14:conditionalFormatting>
        <x14:conditionalFormatting xmlns:xm="http://schemas.microsoft.com/office/excel/2006/main">
          <x14:cfRule type="cellIs" priority="21" operator="equal" id="{EE438C95-C401-4043-9018-AEB80216084A}">
            <xm:f>MAX('13'!$S$36,$S$36)</xm:f>
            <x14:dxf>
              <font>
                <b val="0"/>
                <i/>
              </font>
            </x14:dxf>
          </x14:cfRule>
          <xm:sqref>S36</xm:sqref>
        </x14:conditionalFormatting>
        <x14:conditionalFormatting xmlns:xm="http://schemas.microsoft.com/office/excel/2006/main">
          <x14:cfRule type="cellIs" priority="20" operator="equal" id="{165BB83D-6A73-4034-A0A8-5963B88C86B3}">
            <xm:f>MAX('09'!$R$36,$R$36)</xm:f>
            <x14:dxf>
              <font>
                <b val="0"/>
                <i/>
              </font>
            </x14:dxf>
          </x14:cfRule>
          <xm:sqref>R36</xm:sqref>
        </x14:conditionalFormatting>
        <x14:conditionalFormatting xmlns:xm="http://schemas.microsoft.com/office/excel/2006/main">
          <x14:cfRule type="cellIs" priority="19" operator="equal" id="{73C79724-B80A-4374-B922-70A8426FCEC1}">
            <xm:f>MAX('08'!$K$37,$N$36)</xm:f>
            <x14:dxf>
              <font>
                <b val="0"/>
                <i/>
              </font>
            </x14:dxf>
          </x14:cfRule>
          <xm:sqref>N36</xm:sqref>
        </x14:conditionalFormatting>
        <x14:conditionalFormatting xmlns:xm="http://schemas.microsoft.com/office/excel/2006/main">
          <x14:cfRule type="cellIs" priority="18" operator="equal" id="{911DD942-9F8E-47A7-9E56-6DB91C993D3B}">
            <xm:f>MAX('12'!$O$36,$O$36)</xm:f>
            <x14:dxf>
              <font>
                <b val="0"/>
                <i/>
              </font>
            </x14:dxf>
          </x14:cfRule>
          <xm:sqref>O36</xm:sqref>
        </x14:conditionalFormatting>
        <x14:conditionalFormatting xmlns:xm="http://schemas.microsoft.com/office/excel/2006/main">
          <x14:cfRule type="cellIs" priority="17" operator="equal" id="{09EC57D4-4473-4E44-A015-0FB9A49B7232}">
            <xm:f>MAX('12'!$J$36,$J$36)</xm:f>
            <x14:dxf>
              <font>
                <b val="0"/>
                <i/>
              </font>
            </x14:dxf>
          </x14:cfRule>
          <xm:sqref>J36</xm:sqref>
        </x14:conditionalFormatting>
        <x14:conditionalFormatting xmlns:xm="http://schemas.microsoft.com/office/excel/2006/main">
          <x14:cfRule type="cellIs" priority="16" operator="equal" id="{BCC085CE-FC74-4501-A4B6-7921C165DE0D}">
            <xm:f>MAX('12'!$K$36,$K$36)</xm:f>
            <x14:dxf>
              <font>
                <b val="0"/>
                <i/>
              </font>
            </x14:dxf>
          </x14:cfRule>
          <xm:sqref>K36</xm:sqref>
        </x14:conditionalFormatting>
        <x14:conditionalFormatting xmlns:xm="http://schemas.microsoft.com/office/excel/2006/main">
          <x14:cfRule type="cellIs" priority="15" operator="equal" id="{81669CFE-FB32-4728-8431-01EED2C82A77}">
            <xm:f>MAX('08'!$E$37,$F$36)</xm:f>
            <x14:dxf>
              <font>
                <b val="0"/>
                <i/>
              </font>
            </x14:dxf>
          </x14:cfRule>
          <xm:sqref>F36</xm:sqref>
        </x14:conditionalFormatting>
        <x14:conditionalFormatting xmlns:xm="http://schemas.microsoft.com/office/excel/2006/main">
          <x14:cfRule type="cellIs" priority="14" operator="equal" id="{E598E932-F8E1-453F-9F97-CF7183B461BA}">
            <xm:f>MAX('14'!$G$36,$G$36)</xm:f>
            <x14:dxf>
              <font>
                <b val="0"/>
                <i/>
              </font>
            </x14:dxf>
          </x14:cfRule>
          <xm:sqref>G36</xm:sqref>
        </x14:conditionalFormatting>
        <x14:conditionalFormatting xmlns:xm="http://schemas.microsoft.com/office/excel/2006/main">
          <x14:cfRule type="cellIs" priority="13" operator="equal" id="{F1575808-2882-4837-81A1-8F31F2260A7F}">
            <xm:f>MAX('14'!$B$36,$B$36)</xm:f>
            <x14:dxf>
              <font>
                <b val="0"/>
                <i/>
              </font>
            </x14:dxf>
          </x14:cfRule>
          <xm:sqref>B36</xm:sqref>
        </x14:conditionalFormatting>
        <x14:conditionalFormatting xmlns:xm="http://schemas.microsoft.com/office/excel/2006/main">
          <x14:cfRule type="cellIs" priority="12" operator="equal" id="{3A88928E-7519-4234-B95B-2DE056BB4B49}">
            <xm:f>MAX('08'!$C$37,$C$36)</xm:f>
            <x14:dxf>
              <font>
                <b val="0"/>
                <i/>
              </font>
            </x14:dxf>
          </x14:cfRule>
          <xm:sqref>C36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249977111117893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4" width="5" bestFit="1" customWidth="1"/>
    <col min="5" max="5" width="6.5703125" bestFit="1" customWidth="1"/>
    <col min="6" max="6" width="7" bestFit="1" customWidth="1"/>
    <col min="7" max="7" width="5.7109375" bestFit="1" customWidth="1"/>
    <col min="8" max="8" width="4" bestFit="1" customWidth="1"/>
    <col min="9" max="9" width="3.5703125" bestFit="1" customWidth="1"/>
    <col min="10" max="10" width="7" bestFit="1" customWidth="1"/>
    <col min="11" max="11" width="5.7109375" bestFit="1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.140625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7.42578125" bestFit="1" customWidth="1"/>
    <col min="35" max="35" width="5.8554687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6.28515625" bestFit="1" customWidth="1"/>
    <col min="44" max="44" width="4" bestFit="1" customWidth="1"/>
    <col min="45" max="45" width="3.7109375" bestFit="1" customWidth="1"/>
    <col min="46" max="46" width="7.140625" bestFit="1" customWidth="1"/>
    <col min="47" max="47" width="5.85546875" bestFit="1" customWidth="1"/>
    <col min="48" max="48" width="4" bestFit="1" customWidth="1"/>
    <col min="49" max="49" width="4.5703125" customWidth="1"/>
  </cols>
  <sheetData>
    <row r="1" spans="1:49" s="94" customFormat="1" ht="18" x14ac:dyDescent="0.25">
      <c r="A1" s="96" t="s">
        <v>243</v>
      </c>
      <c r="B1" s="416">
        <f>AT35+AV35</f>
        <v>6014.5499999999993</v>
      </c>
      <c r="C1" s="416"/>
      <c r="D1" s="97" t="s">
        <v>243</v>
      </c>
      <c r="E1" s="417">
        <f>AT35</f>
        <v>5778.15</v>
      </c>
      <c r="F1" s="417"/>
      <c r="G1" s="418" t="s">
        <v>155</v>
      </c>
      <c r="H1" s="418"/>
      <c r="I1" s="414">
        <f>MAX(B36,F36,J36,N36,R36,V36,Z36,AD36,AH36,AL36,AP36,AT36)</f>
        <v>90.83</v>
      </c>
      <c r="J1" s="414"/>
      <c r="K1" s="419" t="s">
        <v>163</v>
      </c>
      <c r="L1" s="419"/>
      <c r="M1" s="420">
        <f>MAX(B34,F34,J34,N34,R34,V34,Z34,AD34,AH34,AL34,AP34,AT34)</f>
        <v>648.05999999999995</v>
      </c>
      <c r="N1" s="420"/>
      <c r="O1" s="413" t="s">
        <v>194</v>
      </c>
      <c r="P1" s="413"/>
      <c r="Q1" s="413"/>
      <c r="R1" s="185">
        <f>MIN(B34,F34,J34,N34,R34,V34,Z34,AD34,AH34,AL34,AP34,AT34)</f>
        <v>288.46999999999997</v>
      </c>
      <c r="S1" s="98" t="s">
        <v>211</v>
      </c>
      <c r="T1" s="426">
        <f>IFERROR(AVERAGE(B37,F37,J37,N37,R37,V37,Z37,AD37,AH37,AL37,AP37,AT37),0)</f>
        <v>17.438365124977199</v>
      </c>
      <c r="U1" s="426"/>
      <c r="V1" s="441" t="s">
        <v>895</v>
      </c>
      <c r="W1" s="441"/>
      <c r="X1" s="441"/>
      <c r="Y1" s="441"/>
      <c r="Z1" s="441"/>
      <c r="AA1" s="99" t="s">
        <v>211</v>
      </c>
      <c r="AB1" s="415">
        <f>IFERROR(AVERAGE(C37,G37,K37,O37,S37,W37,AA37,AE37,AI37,AM37,AQ37,AU37),0)</f>
        <v>136.21705713401113</v>
      </c>
      <c r="AC1" s="415"/>
      <c r="AD1" s="425" t="s">
        <v>194</v>
      </c>
      <c r="AE1" s="425"/>
      <c r="AF1" s="428">
        <f>MIN(C34,G34,K34,O34,S34,W34,AA34,AE34,AI34,AM34,AQ34,AU34)</f>
        <v>1627</v>
      </c>
      <c r="AG1" s="428"/>
      <c r="AH1" s="429" t="s">
        <v>163</v>
      </c>
      <c r="AI1" s="429"/>
      <c r="AJ1" s="430">
        <f>MAX(C34,G34,K34,O34,S34,W34,AA34,AE34,AI34,AM34,AQ34,AU34)</f>
        <v>6601</v>
      </c>
      <c r="AK1" s="430"/>
      <c r="AL1" s="432" t="s">
        <v>156</v>
      </c>
      <c r="AM1" s="432"/>
      <c r="AN1" s="431">
        <f>MAX(C36,G36,K36,O36,S36,W36,AA36,AE36,AI36,AM36,AQ36,AU36)</f>
        <v>2147</v>
      </c>
      <c r="AO1" s="431"/>
      <c r="AP1" s="421" t="s">
        <v>366</v>
      </c>
      <c r="AQ1" s="421"/>
      <c r="AR1" s="422">
        <f>MAX(D36,H36,L36,P36,T36,X36,AB36,AF36,AJ36,AN36,AR36,AV36)</f>
        <v>6.25E-2</v>
      </c>
      <c r="AS1" s="422"/>
      <c r="AT1" s="95" t="s">
        <v>2</v>
      </c>
      <c r="AU1" s="423">
        <f>AU35</f>
        <v>44661</v>
      </c>
      <c r="AV1" s="424"/>
      <c r="AW1" s="121"/>
    </row>
    <row r="2" spans="1:49" s="58" customFormat="1" ht="11.25" x14ac:dyDescent="0.2">
      <c r="A2" s="64" t="s">
        <v>197</v>
      </c>
      <c r="B2" s="49" t="s">
        <v>243</v>
      </c>
      <c r="C2" s="49" t="s">
        <v>2</v>
      </c>
      <c r="D2" s="49" t="s">
        <v>208</v>
      </c>
      <c r="E2" s="70" t="s">
        <v>198</v>
      </c>
      <c r="F2" s="49" t="s">
        <v>243</v>
      </c>
      <c r="G2" s="49" t="s">
        <v>2</v>
      </c>
      <c r="H2" s="49" t="s">
        <v>208</v>
      </c>
      <c r="I2" s="70" t="s">
        <v>200</v>
      </c>
      <c r="J2" s="49" t="s">
        <v>243</v>
      </c>
      <c r="K2" s="49" t="s">
        <v>2</v>
      </c>
      <c r="L2" s="49" t="s">
        <v>208</v>
      </c>
      <c r="M2" s="70" t="s">
        <v>199</v>
      </c>
      <c r="N2" s="49" t="s">
        <v>243</v>
      </c>
      <c r="O2" s="49" t="s">
        <v>2</v>
      </c>
      <c r="P2" s="49" t="s">
        <v>208</v>
      </c>
      <c r="Q2" s="70" t="s">
        <v>100</v>
      </c>
      <c r="R2" s="49" t="s">
        <v>243</v>
      </c>
      <c r="S2" s="49" t="s">
        <v>2</v>
      </c>
      <c r="T2" s="49" t="s">
        <v>208</v>
      </c>
      <c r="U2" s="70" t="s">
        <v>201</v>
      </c>
      <c r="V2" s="49" t="s">
        <v>243</v>
      </c>
      <c r="W2" s="49" t="s">
        <v>2</v>
      </c>
      <c r="X2" s="49" t="s">
        <v>208</v>
      </c>
      <c r="Y2" s="70" t="s">
        <v>202</v>
      </c>
      <c r="Z2" s="49" t="s">
        <v>243</v>
      </c>
      <c r="AA2" s="49" t="s">
        <v>2</v>
      </c>
      <c r="AB2" s="49" t="s">
        <v>208</v>
      </c>
      <c r="AC2" s="70" t="s">
        <v>203</v>
      </c>
      <c r="AD2" s="49" t="s">
        <v>243</v>
      </c>
      <c r="AE2" s="49" t="s">
        <v>2</v>
      </c>
      <c r="AF2" s="49" t="s">
        <v>208</v>
      </c>
      <c r="AG2" s="70" t="s">
        <v>204</v>
      </c>
      <c r="AH2" s="49" t="s">
        <v>243</v>
      </c>
      <c r="AI2" s="49" t="s">
        <v>2</v>
      </c>
      <c r="AJ2" s="49" t="s">
        <v>208</v>
      </c>
      <c r="AK2" s="70" t="s">
        <v>205</v>
      </c>
      <c r="AL2" s="49" t="s">
        <v>243</v>
      </c>
      <c r="AM2" s="49" t="s">
        <v>2</v>
      </c>
      <c r="AN2" s="49" t="s">
        <v>208</v>
      </c>
      <c r="AO2" s="70" t="s">
        <v>206</v>
      </c>
      <c r="AP2" s="49" t="s">
        <v>243</v>
      </c>
      <c r="AQ2" s="49" t="s">
        <v>2</v>
      </c>
      <c r="AR2" s="49" t="s">
        <v>208</v>
      </c>
      <c r="AS2" s="70" t="s">
        <v>207</v>
      </c>
      <c r="AT2" s="49" t="s">
        <v>243</v>
      </c>
      <c r="AU2" s="49" t="s">
        <v>2</v>
      </c>
      <c r="AV2" s="49" t="s">
        <v>208</v>
      </c>
      <c r="AW2" s="105"/>
    </row>
    <row r="3" spans="1:49" s="54" customFormat="1" ht="11.25" x14ac:dyDescent="0.2">
      <c r="A3" s="86">
        <v>1</v>
      </c>
      <c r="B3" s="59">
        <v>13.96</v>
      </c>
      <c r="C3" s="60">
        <v>140</v>
      </c>
      <c r="D3" s="186"/>
      <c r="E3" s="88">
        <v>1</v>
      </c>
      <c r="F3" s="59">
        <v>11.539999999999997</v>
      </c>
      <c r="G3" s="60">
        <v>50</v>
      </c>
      <c r="H3" s="186"/>
      <c r="I3" s="88">
        <v>1</v>
      </c>
      <c r="J3" s="59"/>
      <c r="K3" s="60"/>
      <c r="L3" s="186"/>
      <c r="M3" s="88">
        <v>1</v>
      </c>
      <c r="N3" s="59">
        <v>10</v>
      </c>
      <c r="O3" s="60">
        <v>3</v>
      </c>
      <c r="P3" s="186">
        <v>2.0833333333333332E-2</v>
      </c>
      <c r="Q3" s="88">
        <v>1</v>
      </c>
      <c r="R3" s="59">
        <v>20.93</v>
      </c>
      <c r="S3" s="60">
        <v>435</v>
      </c>
      <c r="T3" s="186"/>
      <c r="U3" s="88">
        <v>1</v>
      </c>
      <c r="V3" s="59">
        <v>11.24</v>
      </c>
      <c r="W3" s="60">
        <v>174</v>
      </c>
      <c r="X3" s="186"/>
      <c r="Y3" s="88">
        <v>1</v>
      </c>
      <c r="Z3" s="59">
        <v>25.82</v>
      </c>
      <c r="AA3" s="60">
        <v>152</v>
      </c>
      <c r="AB3" s="186"/>
      <c r="AC3" s="88">
        <v>1</v>
      </c>
      <c r="AD3" s="59">
        <v>5</v>
      </c>
      <c r="AE3" s="60">
        <v>3</v>
      </c>
      <c r="AF3" s="186"/>
      <c r="AG3" s="88">
        <v>1</v>
      </c>
      <c r="AH3" s="59">
        <v>16.43</v>
      </c>
      <c r="AI3" s="60">
        <v>338</v>
      </c>
      <c r="AJ3" s="186"/>
      <c r="AK3" s="88">
        <v>1</v>
      </c>
      <c r="AL3" s="59">
        <v>10.07</v>
      </c>
      <c r="AM3" s="60">
        <v>30</v>
      </c>
      <c r="AN3" s="186"/>
      <c r="AO3" s="88">
        <v>1</v>
      </c>
      <c r="AP3" s="59">
        <v>34.659999999999997</v>
      </c>
      <c r="AQ3" s="60">
        <v>45</v>
      </c>
      <c r="AR3" s="186"/>
      <c r="AS3" s="88">
        <v>1</v>
      </c>
      <c r="AT3" s="59">
        <v>37.96</v>
      </c>
      <c r="AU3" s="60">
        <v>85</v>
      </c>
      <c r="AV3" s="186"/>
      <c r="AW3" s="73"/>
    </row>
    <row r="4" spans="1:49" s="54" customFormat="1" ht="11.25" x14ac:dyDescent="0.2">
      <c r="A4" s="86">
        <f t="shared" ref="A4:A33" si="0">A3+1</f>
        <v>2</v>
      </c>
      <c r="B4" s="59">
        <v>7.87</v>
      </c>
      <c r="C4" s="60">
        <v>10</v>
      </c>
      <c r="D4" s="186"/>
      <c r="E4" s="88">
        <f t="shared" ref="E4:E30" si="1">E3+1</f>
        <v>2</v>
      </c>
      <c r="F4" s="59">
        <v>10.6</v>
      </c>
      <c r="G4" s="60">
        <v>35</v>
      </c>
      <c r="H4" s="186"/>
      <c r="I4" s="88">
        <f t="shared" ref="I4:I33" si="2">I3+1</f>
        <v>2</v>
      </c>
      <c r="J4" s="59">
        <v>10.5</v>
      </c>
      <c r="K4" s="60">
        <v>75</v>
      </c>
      <c r="L4" s="186"/>
      <c r="M4" s="88">
        <f t="shared" ref="M4:M32" si="3">M3+1</f>
        <v>2</v>
      </c>
      <c r="N4" s="59">
        <v>16.419999999999998</v>
      </c>
      <c r="O4" s="60">
        <v>162</v>
      </c>
      <c r="P4" s="186"/>
      <c r="Q4" s="88">
        <f t="shared" ref="Q4:Q33" si="4">Q3+1</f>
        <v>2</v>
      </c>
      <c r="R4" s="59">
        <v>14.5</v>
      </c>
      <c r="S4" s="60">
        <v>130</v>
      </c>
      <c r="T4" s="186"/>
      <c r="U4" s="88">
        <f t="shared" ref="U4:U32" si="5">U3+1</f>
        <v>2</v>
      </c>
      <c r="V4" s="59">
        <v>5.61</v>
      </c>
      <c r="W4" s="60">
        <v>5</v>
      </c>
      <c r="X4" s="186"/>
      <c r="Y4" s="88">
        <f t="shared" ref="Y4:Y33" si="6">Y3+1</f>
        <v>2</v>
      </c>
      <c r="Z4" s="59">
        <v>26.08</v>
      </c>
      <c r="AA4" s="60">
        <v>175</v>
      </c>
      <c r="AB4" s="186"/>
      <c r="AC4" s="88">
        <f t="shared" ref="AC4:AC33" si="7">AC3+1</f>
        <v>2</v>
      </c>
      <c r="AD4" s="59">
        <v>10</v>
      </c>
      <c r="AE4" s="60">
        <v>20</v>
      </c>
      <c r="AF4" s="186"/>
      <c r="AG4" s="88">
        <f>AG3+1</f>
        <v>2</v>
      </c>
      <c r="AH4" s="59">
        <v>10.1</v>
      </c>
      <c r="AI4" s="60">
        <v>20</v>
      </c>
      <c r="AJ4" s="186">
        <v>6.25E-2</v>
      </c>
      <c r="AK4" s="88">
        <f>AK3+1</f>
        <v>2</v>
      </c>
      <c r="AL4" s="59">
        <v>9.5</v>
      </c>
      <c r="AM4" s="60">
        <v>10</v>
      </c>
      <c r="AN4" s="186"/>
      <c r="AO4" s="88">
        <f>AO3+1</f>
        <v>2</v>
      </c>
      <c r="AP4" s="59">
        <v>10.38</v>
      </c>
      <c r="AQ4" s="60">
        <v>20</v>
      </c>
      <c r="AR4" s="186"/>
      <c r="AS4" s="88">
        <f>AS3+1</f>
        <v>2</v>
      </c>
      <c r="AT4" s="59">
        <v>14.71</v>
      </c>
      <c r="AU4" s="60">
        <v>55</v>
      </c>
      <c r="AV4" s="186"/>
      <c r="AW4" s="73"/>
    </row>
    <row r="5" spans="1:49" s="54" customFormat="1" ht="11.25" x14ac:dyDescent="0.2">
      <c r="A5" s="86">
        <f t="shared" si="0"/>
        <v>3</v>
      </c>
      <c r="B5" s="59">
        <v>10</v>
      </c>
      <c r="C5" s="60">
        <v>25</v>
      </c>
      <c r="D5" s="186"/>
      <c r="E5" s="88">
        <f t="shared" si="1"/>
        <v>3</v>
      </c>
      <c r="F5" s="59">
        <v>13.1</v>
      </c>
      <c r="G5" s="60">
        <v>33</v>
      </c>
      <c r="H5" s="186"/>
      <c r="I5" s="88">
        <f t="shared" si="2"/>
        <v>3</v>
      </c>
      <c r="J5" s="59">
        <v>12.05</v>
      </c>
      <c r="K5" s="60">
        <v>15</v>
      </c>
      <c r="L5" s="186"/>
      <c r="M5" s="88">
        <f t="shared" si="3"/>
        <v>3</v>
      </c>
      <c r="N5" s="59">
        <v>10</v>
      </c>
      <c r="O5" s="60">
        <v>40</v>
      </c>
      <c r="P5" s="186"/>
      <c r="Q5" s="88">
        <f t="shared" si="4"/>
        <v>3</v>
      </c>
      <c r="R5" s="59">
        <v>10.8</v>
      </c>
      <c r="S5" s="60">
        <v>85</v>
      </c>
      <c r="T5" s="186"/>
      <c r="U5" s="88">
        <f t="shared" si="5"/>
        <v>3</v>
      </c>
      <c r="V5" s="59">
        <v>20.12</v>
      </c>
      <c r="W5" s="60">
        <v>108</v>
      </c>
      <c r="X5" s="186"/>
      <c r="Y5" s="88">
        <f t="shared" si="6"/>
        <v>3</v>
      </c>
      <c r="Z5" s="59">
        <v>5.18</v>
      </c>
      <c r="AA5" s="60">
        <v>3</v>
      </c>
      <c r="AB5" s="186"/>
      <c r="AC5" s="88">
        <f t="shared" si="7"/>
        <v>3</v>
      </c>
      <c r="AD5" s="59">
        <v>10.69</v>
      </c>
      <c r="AE5" s="60">
        <v>20</v>
      </c>
      <c r="AF5" s="186"/>
      <c r="AG5" s="88">
        <f t="shared" ref="AG5:AG32" si="8">AG4+1</f>
        <v>3</v>
      </c>
      <c r="AH5" s="59">
        <v>10.199999999999999</v>
      </c>
      <c r="AI5" s="60">
        <v>120</v>
      </c>
      <c r="AJ5" s="186"/>
      <c r="AK5" s="88">
        <f t="shared" ref="AK5:AK33" si="9">AK4+1</f>
        <v>3</v>
      </c>
      <c r="AL5" s="59">
        <v>25.1</v>
      </c>
      <c r="AM5" s="60">
        <v>140</v>
      </c>
      <c r="AN5" s="186"/>
      <c r="AO5" s="88">
        <f t="shared" ref="AO5:AO32" si="10">AO4+1</f>
        <v>3</v>
      </c>
      <c r="AP5" s="59">
        <v>66.66</v>
      </c>
      <c r="AQ5" s="60">
        <v>130</v>
      </c>
      <c r="AR5" s="186"/>
      <c r="AS5" s="88">
        <f t="shared" ref="AS5:AS33" si="11">AS4+1</f>
        <v>3</v>
      </c>
      <c r="AT5" s="59">
        <v>5.2</v>
      </c>
      <c r="AU5" s="60">
        <v>3</v>
      </c>
      <c r="AV5" s="186"/>
      <c r="AW5" s="73"/>
    </row>
    <row r="6" spans="1:49" s="54" customFormat="1" ht="11.25" x14ac:dyDescent="0.2">
      <c r="A6" s="86">
        <f t="shared" si="0"/>
        <v>4</v>
      </c>
      <c r="B6" s="59">
        <v>5.2</v>
      </c>
      <c r="C6" s="60">
        <v>3</v>
      </c>
      <c r="D6" s="186"/>
      <c r="E6" s="88">
        <f t="shared" si="1"/>
        <v>4</v>
      </c>
      <c r="F6" s="59"/>
      <c r="G6" s="60"/>
      <c r="H6" s="186">
        <v>1.0416666666666666E-2</v>
      </c>
      <c r="I6" s="88">
        <f t="shared" si="2"/>
        <v>4</v>
      </c>
      <c r="J6" s="59">
        <v>25.76</v>
      </c>
      <c r="K6" s="60">
        <v>292</v>
      </c>
      <c r="L6" s="186">
        <v>2.0833333333333332E-2</v>
      </c>
      <c r="M6" s="88">
        <f t="shared" si="3"/>
        <v>4</v>
      </c>
      <c r="N6" s="59">
        <v>11.3</v>
      </c>
      <c r="O6" s="60">
        <v>60</v>
      </c>
      <c r="P6" s="186"/>
      <c r="Q6" s="88">
        <f t="shared" si="4"/>
        <v>4</v>
      </c>
      <c r="R6" s="59">
        <v>12.3</v>
      </c>
      <c r="S6" s="60">
        <v>211</v>
      </c>
      <c r="T6" s="186"/>
      <c r="U6" s="88">
        <f t="shared" si="5"/>
        <v>4</v>
      </c>
      <c r="V6" s="59">
        <v>20.22</v>
      </c>
      <c r="W6" s="60">
        <v>40</v>
      </c>
      <c r="X6" s="186"/>
      <c r="Y6" s="88">
        <f t="shared" si="6"/>
        <v>4</v>
      </c>
      <c r="Z6" s="59">
        <v>8.16</v>
      </c>
      <c r="AA6" s="60">
        <v>20</v>
      </c>
      <c r="AB6" s="186"/>
      <c r="AC6" s="88">
        <f t="shared" si="7"/>
        <v>4</v>
      </c>
      <c r="AD6" s="59">
        <v>56.7</v>
      </c>
      <c r="AE6" s="60">
        <v>315</v>
      </c>
      <c r="AF6" s="186"/>
      <c r="AG6" s="88">
        <f t="shared" si="8"/>
        <v>4</v>
      </c>
      <c r="AH6" s="59"/>
      <c r="AI6" s="60"/>
      <c r="AJ6" s="186"/>
      <c r="AK6" s="88">
        <f t="shared" si="9"/>
        <v>4</v>
      </c>
      <c r="AL6" s="59">
        <v>10.5</v>
      </c>
      <c r="AM6" s="60">
        <v>40</v>
      </c>
      <c r="AN6" s="186"/>
      <c r="AO6" s="88">
        <f t="shared" si="10"/>
        <v>4</v>
      </c>
      <c r="AP6" s="59">
        <v>11.44</v>
      </c>
      <c r="AQ6" s="60">
        <v>6</v>
      </c>
      <c r="AR6" s="186"/>
      <c r="AS6" s="88">
        <f t="shared" si="11"/>
        <v>4</v>
      </c>
      <c r="AT6" s="59">
        <v>11.6</v>
      </c>
      <c r="AU6" s="60">
        <v>45</v>
      </c>
      <c r="AV6" s="186"/>
      <c r="AW6" s="73"/>
    </row>
    <row r="7" spans="1:49" s="54" customFormat="1" ht="11.25" x14ac:dyDescent="0.2">
      <c r="A7" s="86">
        <f t="shared" si="0"/>
        <v>5</v>
      </c>
      <c r="B7" s="59">
        <v>15.5</v>
      </c>
      <c r="C7" s="60">
        <v>150</v>
      </c>
      <c r="D7" s="186"/>
      <c r="E7" s="88">
        <f t="shared" si="1"/>
        <v>5</v>
      </c>
      <c r="F7" s="59">
        <v>12.88</v>
      </c>
      <c r="G7" s="60">
        <v>33</v>
      </c>
      <c r="H7" s="186">
        <v>1.0416666666666666E-2</v>
      </c>
      <c r="I7" s="88">
        <f t="shared" si="2"/>
        <v>5</v>
      </c>
      <c r="J7" s="59">
        <v>10.4</v>
      </c>
      <c r="K7" s="60">
        <v>10</v>
      </c>
      <c r="L7" s="186"/>
      <c r="M7" s="88">
        <f t="shared" si="3"/>
        <v>5</v>
      </c>
      <c r="N7" s="59">
        <v>12.8</v>
      </c>
      <c r="O7" s="60">
        <v>120</v>
      </c>
      <c r="P7" s="186"/>
      <c r="Q7" s="88">
        <f t="shared" si="4"/>
        <v>5</v>
      </c>
      <c r="R7" s="59">
        <v>29.79</v>
      </c>
      <c r="S7" s="60">
        <v>441</v>
      </c>
      <c r="T7" s="186"/>
      <c r="U7" s="88">
        <f t="shared" si="5"/>
        <v>5</v>
      </c>
      <c r="V7" s="59"/>
      <c r="W7" s="60"/>
      <c r="X7" s="186"/>
      <c r="Y7" s="88">
        <f t="shared" si="6"/>
        <v>5</v>
      </c>
      <c r="Z7" s="59">
        <v>8.11</v>
      </c>
      <c r="AA7" s="60">
        <v>25</v>
      </c>
      <c r="AB7" s="186"/>
      <c r="AC7" s="88">
        <f t="shared" si="7"/>
        <v>5</v>
      </c>
      <c r="AD7" s="59">
        <v>20.420000000000002</v>
      </c>
      <c r="AE7" s="60">
        <v>125</v>
      </c>
      <c r="AF7" s="186"/>
      <c r="AG7" s="88">
        <f t="shared" si="8"/>
        <v>5</v>
      </c>
      <c r="AH7" s="59">
        <v>11.06</v>
      </c>
      <c r="AI7" s="60">
        <v>155</v>
      </c>
      <c r="AJ7" s="186">
        <v>3.4722222222222224E-2</v>
      </c>
      <c r="AK7" s="88">
        <f t="shared" si="9"/>
        <v>5</v>
      </c>
      <c r="AL7" s="59">
        <v>10.119999999999999</v>
      </c>
      <c r="AM7" s="60">
        <v>40</v>
      </c>
      <c r="AN7" s="186"/>
      <c r="AO7" s="88">
        <f t="shared" si="10"/>
        <v>5</v>
      </c>
      <c r="AP7" s="59">
        <v>25.9</v>
      </c>
      <c r="AQ7" s="60">
        <v>584</v>
      </c>
      <c r="AR7" s="186"/>
      <c r="AS7" s="88">
        <f t="shared" si="11"/>
        <v>5</v>
      </c>
      <c r="AT7" s="59">
        <v>16.5</v>
      </c>
      <c r="AU7" s="60">
        <v>52</v>
      </c>
      <c r="AV7" s="186"/>
      <c r="AW7" s="73"/>
    </row>
    <row r="8" spans="1:49" s="54" customFormat="1" ht="11.25" x14ac:dyDescent="0.2">
      <c r="A8" s="86">
        <f t="shared" si="0"/>
        <v>6</v>
      </c>
      <c r="B8" s="59">
        <v>19.5</v>
      </c>
      <c r="C8" s="60">
        <v>55</v>
      </c>
      <c r="D8" s="186"/>
      <c r="E8" s="88">
        <f t="shared" si="1"/>
        <v>6</v>
      </c>
      <c r="F8" s="59">
        <v>6.45</v>
      </c>
      <c r="G8" s="60">
        <v>10</v>
      </c>
      <c r="H8" s="186"/>
      <c r="I8" s="88">
        <f t="shared" si="2"/>
        <v>6</v>
      </c>
      <c r="J8" s="59">
        <v>10.07</v>
      </c>
      <c r="K8" s="60">
        <v>40</v>
      </c>
      <c r="L8" s="186"/>
      <c r="M8" s="88">
        <f t="shared" si="3"/>
        <v>6</v>
      </c>
      <c r="N8" s="59">
        <v>14.58</v>
      </c>
      <c r="O8" s="60">
        <v>100</v>
      </c>
      <c r="P8" s="186"/>
      <c r="Q8" s="88">
        <f t="shared" si="4"/>
        <v>6</v>
      </c>
      <c r="R8" s="59">
        <v>15.23</v>
      </c>
      <c r="S8" s="60">
        <v>125</v>
      </c>
      <c r="T8" s="186"/>
      <c r="U8" s="88">
        <f t="shared" si="5"/>
        <v>6</v>
      </c>
      <c r="V8" s="59">
        <v>21.67</v>
      </c>
      <c r="W8" s="60">
        <v>45</v>
      </c>
      <c r="X8" s="186"/>
      <c r="Y8" s="88">
        <f t="shared" si="6"/>
        <v>6</v>
      </c>
      <c r="Z8" s="59">
        <v>11.8</v>
      </c>
      <c r="AA8" s="60">
        <v>16</v>
      </c>
      <c r="AB8" s="186"/>
      <c r="AC8" s="88">
        <f t="shared" si="7"/>
        <v>6</v>
      </c>
      <c r="AD8" s="59">
        <v>6.23</v>
      </c>
      <c r="AE8" s="60">
        <v>5</v>
      </c>
      <c r="AF8" s="186"/>
      <c r="AG8" s="88">
        <f t="shared" si="8"/>
        <v>6</v>
      </c>
      <c r="AH8" s="59">
        <v>11.15</v>
      </c>
      <c r="AI8" s="60">
        <v>40</v>
      </c>
      <c r="AJ8" s="186"/>
      <c r="AK8" s="88">
        <f t="shared" si="9"/>
        <v>6</v>
      </c>
      <c r="AL8" s="59">
        <v>52.06</v>
      </c>
      <c r="AM8" s="60">
        <v>390</v>
      </c>
      <c r="AN8" s="186"/>
      <c r="AO8" s="88">
        <f t="shared" si="10"/>
        <v>6</v>
      </c>
      <c r="AP8" s="59"/>
      <c r="AQ8" s="60"/>
      <c r="AR8" s="186"/>
      <c r="AS8" s="88">
        <f t="shared" si="11"/>
        <v>6</v>
      </c>
      <c r="AT8" s="59">
        <v>12.1</v>
      </c>
      <c r="AU8" s="60">
        <v>35</v>
      </c>
      <c r="AV8" s="186"/>
      <c r="AW8" s="73"/>
    </row>
    <row r="9" spans="1:49" s="54" customFormat="1" ht="11.25" x14ac:dyDescent="0.2">
      <c r="A9" s="86">
        <f t="shared" si="0"/>
        <v>7</v>
      </c>
      <c r="B9" s="59">
        <v>10.76</v>
      </c>
      <c r="C9" s="60">
        <v>72</v>
      </c>
      <c r="D9" s="186">
        <v>4.5138888888888888E-2</v>
      </c>
      <c r="E9" s="88">
        <f t="shared" si="1"/>
        <v>7</v>
      </c>
      <c r="F9" s="59">
        <v>10.25</v>
      </c>
      <c r="G9" s="60">
        <v>35</v>
      </c>
      <c r="H9" s="186"/>
      <c r="I9" s="88">
        <f t="shared" si="2"/>
        <v>7</v>
      </c>
      <c r="J9" s="59">
        <v>8</v>
      </c>
      <c r="K9" s="60">
        <v>15</v>
      </c>
      <c r="L9" s="186"/>
      <c r="M9" s="88">
        <f t="shared" si="3"/>
        <v>7</v>
      </c>
      <c r="N9" s="59">
        <v>10</v>
      </c>
      <c r="O9" s="60">
        <v>340</v>
      </c>
      <c r="P9" s="186"/>
      <c r="Q9" s="88">
        <f t="shared" si="4"/>
        <v>7</v>
      </c>
      <c r="R9" s="59">
        <v>18.7</v>
      </c>
      <c r="S9" s="60">
        <v>230</v>
      </c>
      <c r="T9" s="186"/>
      <c r="U9" s="88">
        <f t="shared" si="5"/>
        <v>7</v>
      </c>
      <c r="V9" s="59">
        <v>10.25</v>
      </c>
      <c r="W9" s="60">
        <v>40</v>
      </c>
      <c r="X9" s="186"/>
      <c r="Y9" s="88">
        <f t="shared" si="6"/>
        <v>7</v>
      </c>
      <c r="Z9" s="59">
        <v>23.6</v>
      </c>
      <c r="AA9" s="60">
        <v>167</v>
      </c>
      <c r="AB9" s="186"/>
      <c r="AC9" s="88">
        <f t="shared" si="7"/>
        <v>7</v>
      </c>
      <c r="AD9" s="59">
        <v>6.54</v>
      </c>
      <c r="AE9" s="60">
        <v>30</v>
      </c>
      <c r="AF9" s="186"/>
      <c r="AG9" s="88">
        <f t="shared" si="8"/>
        <v>7</v>
      </c>
      <c r="AH9" s="59">
        <v>20.100000000000001</v>
      </c>
      <c r="AI9" s="60">
        <v>60</v>
      </c>
      <c r="AJ9" s="186"/>
      <c r="AK9" s="88">
        <f t="shared" si="9"/>
        <v>7</v>
      </c>
      <c r="AL9" s="59">
        <v>15.73</v>
      </c>
      <c r="AM9" s="60">
        <v>48</v>
      </c>
      <c r="AN9" s="186"/>
      <c r="AO9" s="88">
        <f t="shared" si="10"/>
        <v>7</v>
      </c>
      <c r="AP9" s="59">
        <v>10.6</v>
      </c>
      <c r="AQ9" s="60">
        <v>350</v>
      </c>
      <c r="AR9" s="186"/>
      <c r="AS9" s="88">
        <f t="shared" si="11"/>
        <v>7</v>
      </c>
      <c r="AT9" s="59">
        <v>7.26</v>
      </c>
      <c r="AU9" s="60">
        <v>10</v>
      </c>
      <c r="AV9" s="186"/>
      <c r="AW9" s="73"/>
    </row>
    <row r="10" spans="1:49" s="54" customFormat="1" ht="11.25" x14ac:dyDescent="0.2">
      <c r="A10" s="86">
        <f t="shared" si="0"/>
        <v>8</v>
      </c>
      <c r="B10" s="59">
        <v>10.71</v>
      </c>
      <c r="C10" s="60">
        <v>30</v>
      </c>
      <c r="D10" s="186"/>
      <c r="E10" s="88">
        <f t="shared" si="1"/>
        <v>8</v>
      </c>
      <c r="F10" s="59">
        <v>10.1</v>
      </c>
      <c r="G10" s="60">
        <v>30</v>
      </c>
      <c r="H10" s="186"/>
      <c r="I10" s="88">
        <f t="shared" si="2"/>
        <v>8</v>
      </c>
      <c r="J10" s="59">
        <v>5</v>
      </c>
      <c r="K10" s="60">
        <v>3</v>
      </c>
      <c r="L10" s="186"/>
      <c r="M10" s="88">
        <f t="shared" si="3"/>
        <v>8</v>
      </c>
      <c r="N10" s="59">
        <v>56.52</v>
      </c>
      <c r="O10" s="60">
        <v>653</v>
      </c>
      <c r="P10" s="186"/>
      <c r="Q10" s="88">
        <f t="shared" si="4"/>
        <v>8</v>
      </c>
      <c r="R10" s="59">
        <v>7.5</v>
      </c>
      <c r="S10" s="60">
        <v>30</v>
      </c>
      <c r="T10" s="186"/>
      <c r="U10" s="88">
        <f t="shared" si="5"/>
        <v>8</v>
      </c>
      <c r="V10" s="59">
        <v>37.5</v>
      </c>
      <c r="W10" s="60">
        <v>70</v>
      </c>
      <c r="X10" s="186"/>
      <c r="Y10" s="88">
        <f t="shared" si="6"/>
        <v>8</v>
      </c>
      <c r="Z10" s="59">
        <v>90.490000000000009</v>
      </c>
      <c r="AA10" s="60">
        <v>951</v>
      </c>
      <c r="AB10" s="186"/>
      <c r="AC10" s="88">
        <f t="shared" si="7"/>
        <v>8</v>
      </c>
      <c r="AD10" s="59">
        <v>5.04</v>
      </c>
      <c r="AE10" s="60">
        <v>20</v>
      </c>
      <c r="AF10" s="186"/>
      <c r="AG10" s="88">
        <f t="shared" si="8"/>
        <v>8</v>
      </c>
      <c r="AH10" s="59">
        <v>53.86</v>
      </c>
      <c r="AI10" s="54">
        <v>842</v>
      </c>
      <c r="AJ10" s="186"/>
      <c r="AK10" s="88">
        <f t="shared" si="9"/>
        <v>8</v>
      </c>
      <c r="AL10" s="59">
        <v>10.67</v>
      </c>
      <c r="AM10" s="60">
        <v>53</v>
      </c>
      <c r="AN10" s="186"/>
      <c r="AO10" s="88">
        <f t="shared" si="10"/>
        <v>8</v>
      </c>
      <c r="AP10" s="59">
        <v>12.18</v>
      </c>
      <c r="AQ10" s="60">
        <v>40</v>
      </c>
      <c r="AR10" s="186"/>
      <c r="AS10" s="88">
        <f t="shared" si="11"/>
        <v>8</v>
      </c>
      <c r="AT10" s="59">
        <v>10.4</v>
      </c>
      <c r="AU10" s="60">
        <v>6</v>
      </c>
      <c r="AV10" s="186"/>
      <c r="AW10" s="73"/>
    </row>
    <row r="11" spans="1:49" s="54" customFormat="1" ht="11.25" x14ac:dyDescent="0.2">
      <c r="A11" s="86">
        <f t="shared" si="0"/>
        <v>9</v>
      </c>
      <c r="B11" s="59">
        <v>11.21</v>
      </c>
      <c r="C11" s="60">
        <v>90</v>
      </c>
      <c r="D11" s="186"/>
      <c r="E11" s="88">
        <f t="shared" si="1"/>
        <v>9</v>
      </c>
      <c r="F11" s="59">
        <v>11.14</v>
      </c>
      <c r="G11" s="60">
        <v>80</v>
      </c>
      <c r="H11" s="186"/>
      <c r="I11" s="88">
        <f t="shared" si="2"/>
        <v>9</v>
      </c>
      <c r="J11" s="59">
        <v>5.75</v>
      </c>
      <c r="K11" s="60">
        <v>3</v>
      </c>
      <c r="L11" s="186"/>
      <c r="M11" s="88">
        <f t="shared" si="3"/>
        <v>9</v>
      </c>
      <c r="N11" s="59">
        <v>10.4</v>
      </c>
      <c r="O11" s="60">
        <v>30</v>
      </c>
      <c r="P11" s="186"/>
      <c r="Q11" s="88">
        <f t="shared" si="4"/>
        <v>9</v>
      </c>
      <c r="R11" s="59">
        <v>27</v>
      </c>
      <c r="S11" s="60">
        <v>250</v>
      </c>
      <c r="T11" s="186"/>
      <c r="U11" s="88">
        <f t="shared" si="5"/>
        <v>9</v>
      </c>
      <c r="V11" s="59">
        <v>21.92</v>
      </c>
      <c r="W11" s="60">
        <v>30</v>
      </c>
      <c r="X11" s="186"/>
      <c r="Y11" s="88">
        <f t="shared" si="6"/>
        <v>9</v>
      </c>
      <c r="Z11" s="59">
        <v>6.7</v>
      </c>
      <c r="AA11" s="60">
        <v>25</v>
      </c>
      <c r="AB11" s="186"/>
      <c r="AC11" s="88">
        <f t="shared" si="7"/>
        <v>9</v>
      </c>
      <c r="AD11" s="59">
        <v>5.05</v>
      </c>
      <c r="AE11" s="60">
        <v>15</v>
      </c>
      <c r="AF11" s="186"/>
      <c r="AG11" s="88">
        <f t="shared" si="8"/>
        <v>9</v>
      </c>
      <c r="AH11" s="59"/>
      <c r="AI11" s="60"/>
      <c r="AJ11" s="186"/>
      <c r="AK11" s="88">
        <f t="shared" si="9"/>
        <v>9</v>
      </c>
      <c r="AL11" s="59"/>
      <c r="AM11" s="60"/>
      <c r="AN11" s="186"/>
      <c r="AO11" s="88">
        <f t="shared" si="10"/>
        <v>9</v>
      </c>
      <c r="AP11" s="59">
        <v>14.02</v>
      </c>
      <c r="AQ11" s="60">
        <v>50</v>
      </c>
      <c r="AR11" s="186"/>
      <c r="AS11" s="88">
        <f t="shared" si="11"/>
        <v>9</v>
      </c>
      <c r="AT11" s="59">
        <v>10.4</v>
      </c>
      <c r="AU11" s="60">
        <v>6</v>
      </c>
      <c r="AV11" s="186"/>
      <c r="AW11" s="73"/>
    </row>
    <row r="12" spans="1:49" s="54" customFormat="1" ht="11.25" x14ac:dyDescent="0.2">
      <c r="A12" s="86">
        <f t="shared" si="0"/>
        <v>10</v>
      </c>
      <c r="B12" s="59">
        <v>14.71</v>
      </c>
      <c r="C12" s="60">
        <v>155</v>
      </c>
      <c r="D12" s="186"/>
      <c r="E12" s="88">
        <f t="shared" si="1"/>
        <v>10</v>
      </c>
      <c r="F12" s="59">
        <v>23.44</v>
      </c>
      <c r="G12" s="60">
        <v>195</v>
      </c>
      <c r="H12" s="186"/>
      <c r="I12" s="88">
        <f t="shared" si="2"/>
        <v>10</v>
      </c>
      <c r="J12" s="59">
        <v>14.36</v>
      </c>
      <c r="K12" s="60">
        <v>240</v>
      </c>
      <c r="L12" s="186"/>
      <c r="M12" s="88">
        <f t="shared" si="3"/>
        <v>10</v>
      </c>
      <c r="N12" s="59">
        <v>13.33</v>
      </c>
      <c r="O12" s="60">
        <v>55</v>
      </c>
      <c r="P12" s="186"/>
      <c r="Q12" s="88">
        <f t="shared" si="4"/>
        <v>10</v>
      </c>
      <c r="R12" s="59">
        <v>66.81</v>
      </c>
      <c r="S12" s="60">
        <v>395</v>
      </c>
      <c r="T12" s="186"/>
      <c r="U12" s="88">
        <f t="shared" si="5"/>
        <v>10</v>
      </c>
      <c r="V12" s="59">
        <v>37</v>
      </c>
      <c r="W12" s="60">
        <v>910</v>
      </c>
      <c r="X12" s="186"/>
      <c r="Y12" s="88">
        <f t="shared" si="6"/>
        <v>10</v>
      </c>
      <c r="Z12" s="59"/>
      <c r="AA12" s="60"/>
      <c r="AB12" s="186"/>
      <c r="AC12" s="88">
        <f t="shared" si="7"/>
        <v>10</v>
      </c>
      <c r="AD12" s="59">
        <v>5.04</v>
      </c>
      <c r="AE12" s="60">
        <v>20</v>
      </c>
      <c r="AF12" s="186"/>
      <c r="AG12" s="88">
        <f t="shared" si="8"/>
        <v>10</v>
      </c>
      <c r="AH12" s="59">
        <v>10.15</v>
      </c>
      <c r="AI12" s="54">
        <v>25</v>
      </c>
      <c r="AJ12" s="186"/>
      <c r="AK12" s="88">
        <f t="shared" si="9"/>
        <v>10</v>
      </c>
      <c r="AL12" s="59">
        <v>18.05</v>
      </c>
      <c r="AM12" s="60">
        <v>75</v>
      </c>
      <c r="AN12" s="186"/>
      <c r="AO12" s="88">
        <f t="shared" si="10"/>
        <v>10</v>
      </c>
      <c r="AP12" s="59">
        <v>19.670000000000002</v>
      </c>
      <c r="AQ12" s="60">
        <v>357</v>
      </c>
      <c r="AR12" s="186"/>
      <c r="AS12" s="88">
        <f t="shared" si="11"/>
        <v>10</v>
      </c>
      <c r="AT12" s="59">
        <v>13.36</v>
      </c>
      <c r="AU12" s="60">
        <v>16</v>
      </c>
      <c r="AV12" s="186"/>
      <c r="AW12" s="73"/>
    </row>
    <row r="13" spans="1:49" s="54" customFormat="1" ht="11.25" x14ac:dyDescent="0.2">
      <c r="A13" s="86">
        <f t="shared" si="0"/>
        <v>11</v>
      </c>
      <c r="B13" s="59">
        <v>15.510000000000002</v>
      </c>
      <c r="C13" s="60">
        <v>120</v>
      </c>
      <c r="D13" s="186"/>
      <c r="E13" s="88">
        <f t="shared" si="1"/>
        <v>11</v>
      </c>
      <c r="F13" s="59">
        <v>24.84</v>
      </c>
      <c r="G13" s="60">
        <v>140</v>
      </c>
      <c r="H13" s="186"/>
      <c r="I13" s="88">
        <f t="shared" si="2"/>
        <v>11</v>
      </c>
      <c r="J13" s="59">
        <v>58.73</v>
      </c>
      <c r="K13" s="60">
        <v>431</v>
      </c>
      <c r="L13" s="186"/>
      <c r="M13" s="88">
        <f t="shared" si="3"/>
        <v>11</v>
      </c>
      <c r="N13" s="59">
        <v>11.3</v>
      </c>
      <c r="O13" s="60">
        <v>60</v>
      </c>
      <c r="P13" s="186"/>
      <c r="Q13" s="88">
        <f t="shared" si="4"/>
        <v>11</v>
      </c>
      <c r="R13" s="59">
        <v>11.75</v>
      </c>
      <c r="S13" s="60">
        <v>30</v>
      </c>
      <c r="T13" s="186"/>
      <c r="U13" s="88">
        <f t="shared" si="5"/>
        <v>11</v>
      </c>
      <c r="V13" s="59">
        <v>31.1</v>
      </c>
      <c r="W13" s="60">
        <v>115</v>
      </c>
      <c r="X13" s="186"/>
      <c r="Y13" s="88">
        <f t="shared" si="6"/>
        <v>11</v>
      </c>
      <c r="Z13" s="59">
        <v>10.25</v>
      </c>
      <c r="AA13" s="60">
        <v>160</v>
      </c>
      <c r="AB13" s="186"/>
      <c r="AC13" s="88">
        <f t="shared" si="7"/>
        <v>11</v>
      </c>
      <c r="AD13" s="59">
        <v>14.8</v>
      </c>
      <c r="AE13" s="60">
        <v>330</v>
      </c>
      <c r="AF13" s="186"/>
      <c r="AG13" s="88">
        <f t="shared" si="8"/>
        <v>11</v>
      </c>
      <c r="AH13" s="59">
        <v>10</v>
      </c>
      <c r="AI13" s="60">
        <v>5</v>
      </c>
      <c r="AJ13" s="186"/>
      <c r="AK13" s="88">
        <f t="shared" si="9"/>
        <v>11</v>
      </c>
      <c r="AL13" s="59">
        <v>11.02</v>
      </c>
      <c r="AM13" s="60">
        <v>200</v>
      </c>
      <c r="AN13" s="186"/>
      <c r="AO13" s="88">
        <f t="shared" si="10"/>
        <v>11</v>
      </c>
      <c r="AP13" s="59">
        <v>19.100000000000001</v>
      </c>
      <c r="AQ13" s="60">
        <v>113</v>
      </c>
      <c r="AR13" s="186"/>
      <c r="AS13" s="88">
        <f t="shared" si="11"/>
        <v>11</v>
      </c>
      <c r="AT13" s="59"/>
      <c r="AU13" s="60"/>
      <c r="AV13" s="186"/>
      <c r="AW13" s="73"/>
    </row>
    <row r="14" spans="1:49" s="54" customFormat="1" ht="11.25" x14ac:dyDescent="0.2">
      <c r="A14" s="86">
        <f t="shared" si="0"/>
        <v>12</v>
      </c>
      <c r="B14" s="59">
        <v>11.6</v>
      </c>
      <c r="C14" s="60">
        <v>45</v>
      </c>
      <c r="D14" s="186"/>
      <c r="E14" s="88">
        <f t="shared" si="1"/>
        <v>12</v>
      </c>
      <c r="F14" s="59">
        <v>13.83</v>
      </c>
      <c r="G14" s="60">
        <v>60</v>
      </c>
      <c r="H14" s="186"/>
      <c r="I14" s="88">
        <f t="shared" si="2"/>
        <v>12</v>
      </c>
      <c r="J14" s="59">
        <v>10.039999999999999</v>
      </c>
      <c r="K14" s="60">
        <v>40</v>
      </c>
      <c r="L14" s="186"/>
      <c r="M14" s="88">
        <f t="shared" si="3"/>
        <v>12</v>
      </c>
      <c r="N14" s="59">
        <v>10.55</v>
      </c>
      <c r="O14" s="60">
        <v>190</v>
      </c>
      <c r="P14" s="186"/>
      <c r="Q14" s="88">
        <f t="shared" si="4"/>
        <v>12</v>
      </c>
      <c r="R14" s="59">
        <v>18.57</v>
      </c>
      <c r="S14" s="60">
        <v>93</v>
      </c>
      <c r="T14" s="186"/>
      <c r="U14" s="88">
        <f t="shared" si="5"/>
        <v>12</v>
      </c>
      <c r="V14" s="59">
        <v>37</v>
      </c>
      <c r="W14" s="60">
        <v>910</v>
      </c>
      <c r="X14" s="186"/>
      <c r="Y14" s="88">
        <f t="shared" si="6"/>
        <v>12</v>
      </c>
      <c r="Z14" s="59">
        <v>11.66</v>
      </c>
      <c r="AA14" s="60">
        <v>105</v>
      </c>
      <c r="AB14" s="186"/>
      <c r="AC14" s="88">
        <f t="shared" si="7"/>
        <v>12</v>
      </c>
      <c r="AD14" s="59">
        <v>59.109999999999992</v>
      </c>
      <c r="AE14" s="91">
        <v>332</v>
      </c>
      <c r="AF14" s="186"/>
      <c r="AG14" s="88">
        <f t="shared" si="8"/>
        <v>12</v>
      </c>
      <c r="AH14" s="59">
        <v>10.25</v>
      </c>
      <c r="AI14" s="60">
        <v>115</v>
      </c>
      <c r="AJ14" s="186"/>
      <c r="AK14" s="88">
        <f t="shared" si="9"/>
        <v>12</v>
      </c>
      <c r="AL14" s="59">
        <v>13.8</v>
      </c>
      <c r="AM14" s="60">
        <v>170</v>
      </c>
      <c r="AN14" s="186"/>
      <c r="AO14" s="88">
        <f t="shared" si="10"/>
        <v>12</v>
      </c>
      <c r="AP14" s="59">
        <v>50</v>
      </c>
      <c r="AQ14" s="60">
        <v>50</v>
      </c>
      <c r="AR14" s="186"/>
      <c r="AS14" s="88">
        <f t="shared" si="11"/>
        <v>12</v>
      </c>
      <c r="AT14" s="59">
        <v>5.2</v>
      </c>
      <c r="AU14" s="60">
        <v>3</v>
      </c>
      <c r="AV14" s="186"/>
      <c r="AW14" s="73"/>
    </row>
    <row r="15" spans="1:49" s="54" customFormat="1" ht="11.25" x14ac:dyDescent="0.2">
      <c r="A15" s="86">
        <f t="shared" si="0"/>
        <v>13</v>
      </c>
      <c r="B15" s="59">
        <v>66.66</v>
      </c>
      <c r="C15" s="60">
        <v>130</v>
      </c>
      <c r="D15" s="186"/>
      <c r="E15" s="88">
        <f t="shared" si="1"/>
        <v>13</v>
      </c>
      <c r="F15" s="59">
        <v>16.579999999999998</v>
      </c>
      <c r="G15" s="60">
        <v>80</v>
      </c>
      <c r="H15" s="186"/>
      <c r="I15" s="88">
        <f t="shared" si="2"/>
        <v>13</v>
      </c>
      <c r="J15" s="59">
        <v>5.41</v>
      </c>
      <c r="K15" s="60">
        <v>8</v>
      </c>
      <c r="L15" s="186"/>
      <c r="M15" s="88">
        <f t="shared" si="3"/>
        <v>13</v>
      </c>
      <c r="N15" s="59"/>
      <c r="O15" s="60"/>
      <c r="P15" s="186"/>
      <c r="Q15" s="88">
        <f t="shared" si="4"/>
        <v>13</v>
      </c>
      <c r="R15" s="59">
        <v>36.92</v>
      </c>
      <c r="S15" s="60">
        <v>203</v>
      </c>
      <c r="T15" s="186"/>
      <c r="U15" s="88">
        <f t="shared" si="5"/>
        <v>13</v>
      </c>
      <c r="V15" s="59"/>
      <c r="W15" s="60"/>
      <c r="X15" s="186"/>
      <c r="Y15" s="88">
        <f t="shared" si="6"/>
        <v>13</v>
      </c>
      <c r="Z15" s="59">
        <v>11.4</v>
      </c>
      <c r="AA15" s="60">
        <v>85</v>
      </c>
      <c r="AB15" s="186"/>
      <c r="AC15" s="88">
        <f t="shared" si="7"/>
        <v>13</v>
      </c>
      <c r="AD15" s="59">
        <v>5.22</v>
      </c>
      <c r="AE15" s="60">
        <v>3</v>
      </c>
      <c r="AF15" s="186"/>
      <c r="AG15" s="88">
        <f t="shared" si="8"/>
        <v>13</v>
      </c>
      <c r="AH15" s="59">
        <v>5.14</v>
      </c>
      <c r="AI15" s="60">
        <v>3</v>
      </c>
      <c r="AJ15" s="186"/>
      <c r="AK15" s="88">
        <f t="shared" si="9"/>
        <v>13</v>
      </c>
      <c r="AL15" s="59">
        <v>52.8</v>
      </c>
      <c r="AM15" s="60">
        <v>436</v>
      </c>
      <c r="AN15" s="186"/>
      <c r="AO15" s="88">
        <f t="shared" si="10"/>
        <v>13</v>
      </c>
      <c r="AP15" s="59">
        <v>10.17</v>
      </c>
      <c r="AQ15" s="60">
        <v>30</v>
      </c>
      <c r="AR15" s="186"/>
      <c r="AS15" s="88">
        <f t="shared" si="11"/>
        <v>13</v>
      </c>
      <c r="AT15" s="59">
        <v>7</v>
      </c>
      <c r="AU15" s="60">
        <v>10</v>
      </c>
      <c r="AV15" s="186"/>
      <c r="AW15" s="73"/>
    </row>
    <row r="16" spans="1:49" s="54" customFormat="1" ht="11.25" x14ac:dyDescent="0.2">
      <c r="A16" s="86">
        <f t="shared" si="0"/>
        <v>14</v>
      </c>
      <c r="B16" s="59">
        <v>16.75</v>
      </c>
      <c r="C16" s="60">
        <v>55</v>
      </c>
      <c r="D16" s="186"/>
      <c r="E16" s="88">
        <f t="shared" si="1"/>
        <v>14</v>
      </c>
      <c r="F16" s="59">
        <v>13.22</v>
      </c>
      <c r="G16" s="60">
        <v>75</v>
      </c>
      <c r="H16" s="186"/>
      <c r="I16" s="88">
        <f t="shared" si="2"/>
        <v>14</v>
      </c>
      <c r="J16" s="59">
        <v>5.41</v>
      </c>
      <c r="K16" s="60">
        <v>8</v>
      </c>
      <c r="L16" s="186"/>
      <c r="M16" s="88">
        <f t="shared" si="3"/>
        <v>14</v>
      </c>
      <c r="N16" s="59">
        <v>39.39</v>
      </c>
      <c r="O16" s="60">
        <v>373</v>
      </c>
      <c r="P16" s="186"/>
      <c r="Q16" s="88">
        <f t="shared" si="4"/>
        <v>14</v>
      </c>
      <c r="R16" s="59">
        <v>14.4</v>
      </c>
      <c r="S16" s="54">
        <v>45</v>
      </c>
      <c r="T16" s="186"/>
      <c r="U16" s="88">
        <f t="shared" si="5"/>
        <v>14</v>
      </c>
      <c r="V16" s="59">
        <v>24</v>
      </c>
      <c r="W16" s="60">
        <v>130</v>
      </c>
      <c r="X16" s="186"/>
      <c r="Y16" s="88">
        <f t="shared" si="6"/>
        <v>14</v>
      </c>
      <c r="Z16" s="59">
        <v>24.14</v>
      </c>
      <c r="AA16" s="60">
        <v>150</v>
      </c>
      <c r="AB16" s="186"/>
      <c r="AC16" s="88">
        <f t="shared" si="7"/>
        <v>14</v>
      </c>
      <c r="AD16" s="59">
        <v>5.5</v>
      </c>
      <c r="AE16" s="60">
        <v>5</v>
      </c>
      <c r="AF16" s="186">
        <v>1.0416666666666666E-2</v>
      </c>
      <c r="AG16" s="88">
        <f t="shared" si="8"/>
        <v>14</v>
      </c>
      <c r="AH16" s="59">
        <v>10</v>
      </c>
      <c r="AI16" s="60">
        <v>5</v>
      </c>
      <c r="AJ16" s="186"/>
      <c r="AK16" s="88">
        <f t="shared" si="9"/>
        <v>14</v>
      </c>
      <c r="AL16" s="59">
        <v>21.46</v>
      </c>
      <c r="AM16" s="60">
        <v>135</v>
      </c>
      <c r="AN16" s="186"/>
      <c r="AO16" s="88">
        <f t="shared" si="10"/>
        <v>14</v>
      </c>
      <c r="AP16" s="59">
        <v>5.2</v>
      </c>
      <c r="AQ16" s="60">
        <v>3</v>
      </c>
      <c r="AR16" s="186"/>
      <c r="AS16" s="88">
        <f t="shared" si="11"/>
        <v>14</v>
      </c>
      <c r="AT16" s="59">
        <v>13</v>
      </c>
      <c r="AU16" s="60">
        <v>40</v>
      </c>
      <c r="AV16" s="186"/>
      <c r="AW16" s="73"/>
    </row>
    <row r="17" spans="1:49" s="54" customFormat="1" ht="11.25" x14ac:dyDescent="0.2">
      <c r="A17" s="86">
        <f t="shared" si="0"/>
        <v>15</v>
      </c>
      <c r="B17" s="59">
        <v>10.199999999999999</v>
      </c>
      <c r="C17" s="60">
        <v>30</v>
      </c>
      <c r="D17" s="186"/>
      <c r="E17" s="88">
        <f t="shared" si="1"/>
        <v>15</v>
      </c>
      <c r="F17" s="59">
        <v>5.75</v>
      </c>
      <c r="G17" s="60">
        <v>10</v>
      </c>
      <c r="H17" s="186"/>
      <c r="I17" s="88">
        <f t="shared" si="2"/>
        <v>15</v>
      </c>
      <c r="J17" s="59">
        <v>7.85</v>
      </c>
      <c r="K17" s="60">
        <v>73</v>
      </c>
      <c r="L17" s="186"/>
      <c r="M17" s="88">
        <f t="shared" si="3"/>
        <v>15</v>
      </c>
      <c r="N17" s="59">
        <v>29.119999999999997</v>
      </c>
      <c r="O17" s="60">
        <v>468</v>
      </c>
      <c r="P17" s="186"/>
      <c r="Q17" s="88">
        <f t="shared" si="4"/>
        <v>15</v>
      </c>
      <c r="R17" s="59">
        <v>7.63</v>
      </c>
      <c r="S17" s="54">
        <v>20</v>
      </c>
      <c r="T17" s="186"/>
      <c r="U17" s="88">
        <f t="shared" si="5"/>
        <v>15</v>
      </c>
      <c r="V17" s="59"/>
      <c r="W17" s="60"/>
      <c r="X17" s="186"/>
      <c r="Y17" s="88">
        <f t="shared" si="6"/>
        <v>15</v>
      </c>
      <c r="Z17" s="59">
        <v>17.05</v>
      </c>
      <c r="AA17" s="60">
        <v>124</v>
      </c>
      <c r="AB17" s="186"/>
      <c r="AC17" s="88">
        <f t="shared" si="7"/>
        <v>15</v>
      </c>
      <c r="AD17" s="59">
        <v>43.9</v>
      </c>
      <c r="AE17" s="60">
        <v>980</v>
      </c>
      <c r="AF17" s="186"/>
      <c r="AG17" s="88">
        <f t="shared" si="8"/>
        <v>15</v>
      </c>
      <c r="AH17" s="59">
        <v>31.700000000000003</v>
      </c>
      <c r="AI17" s="60">
        <v>383</v>
      </c>
      <c r="AJ17" s="186"/>
      <c r="AK17" s="88">
        <f t="shared" si="9"/>
        <v>15</v>
      </c>
      <c r="AL17" s="59">
        <v>10.9</v>
      </c>
      <c r="AM17" s="60">
        <v>5</v>
      </c>
      <c r="AN17" s="186"/>
      <c r="AO17" s="88">
        <f t="shared" si="10"/>
        <v>15</v>
      </c>
      <c r="AP17" s="59">
        <v>11.3</v>
      </c>
      <c r="AQ17" s="60">
        <v>45</v>
      </c>
      <c r="AR17" s="186"/>
      <c r="AS17" s="88">
        <f t="shared" si="11"/>
        <v>15</v>
      </c>
      <c r="AT17" s="59">
        <v>31.21</v>
      </c>
      <c r="AU17" s="60">
        <v>146</v>
      </c>
      <c r="AV17" s="186"/>
      <c r="AW17" s="73"/>
    </row>
    <row r="18" spans="1:49" s="54" customFormat="1" ht="11.25" x14ac:dyDescent="0.2">
      <c r="A18" s="86">
        <f t="shared" si="0"/>
        <v>16</v>
      </c>
      <c r="B18" s="59"/>
      <c r="C18" s="60"/>
      <c r="D18" s="186">
        <v>1.0416666666666666E-2</v>
      </c>
      <c r="E18" s="88">
        <f t="shared" si="1"/>
        <v>16</v>
      </c>
      <c r="F18" s="59">
        <v>11.22</v>
      </c>
      <c r="G18" s="60">
        <v>20</v>
      </c>
      <c r="H18" s="186"/>
      <c r="I18" s="88">
        <f t="shared" si="2"/>
        <v>16</v>
      </c>
      <c r="J18" s="59">
        <v>5.2</v>
      </c>
      <c r="K18" s="60">
        <v>3</v>
      </c>
      <c r="L18" s="186"/>
      <c r="M18" s="88">
        <f t="shared" si="3"/>
        <v>16</v>
      </c>
      <c r="N18" s="59">
        <v>7.62</v>
      </c>
      <c r="O18" s="60">
        <v>30</v>
      </c>
      <c r="P18" s="186"/>
      <c r="Q18" s="88">
        <f t="shared" si="4"/>
        <v>16</v>
      </c>
      <c r="R18" s="59">
        <v>5.18</v>
      </c>
      <c r="S18" s="60">
        <v>3</v>
      </c>
      <c r="T18" s="186"/>
      <c r="U18" s="88">
        <f t="shared" si="5"/>
        <v>16</v>
      </c>
      <c r="V18" s="59">
        <v>40</v>
      </c>
      <c r="W18" s="60">
        <v>1500</v>
      </c>
      <c r="X18" s="186"/>
      <c r="Y18" s="88">
        <f t="shared" si="6"/>
        <v>16</v>
      </c>
      <c r="Z18" s="59">
        <v>8.3000000000000007</v>
      </c>
      <c r="AA18" s="60">
        <v>25</v>
      </c>
      <c r="AB18" s="186"/>
      <c r="AC18" s="88">
        <f t="shared" si="7"/>
        <v>16</v>
      </c>
      <c r="AD18" s="59">
        <v>5.15</v>
      </c>
      <c r="AE18" s="60">
        <v>3</v>
      </c>
      <c r="AF18" s="186"/>
      <c r="AG18" s="88">
        <f t="shared" si="8"/>
        <v>16</v>
      </c>
      <c r="AH18" s="59">
        <v>57.620000000000005</v>
      </c>
      <c r="AI18" s="60">
        <v>390</v>
      </c>
      <c r="AJ18" s="186"/>
      <c r="AK18" s="88">
        <f t="shared" si="9"/>
        <v>16</v>
      </c>
      <c r="AL18" s="59">
        <v>17.170000000000002</v>
      </c>
      <c r="AM18" s="60">
        <v>200</v>
      </c>
      <c r="AN18" s="186"/>
      <c r="AO18" s="88">
        <f t="shared" si="10"/>
        <v>16</v>
      </c>
      <c r="AP18" s="59">
        <v>5.2</v>
      </c>
      <c r="AQ18" s="60">
        <v>3</v>
      </c>
      <c r="AR18" s="186"/>
      <c r="AS18" s="88">
        <f t="shared" si="11"/>
        <v>16</v>
      </c>
      <c r="AT18" s="59">
        <v>10.3</v>
      </c>
      <c r="AU18" s="60">
        <v>30</v>
      </c>
      <c r="AV18" s="186">
        <v>1.0416666666666666E-2</v>
      </c>
      <c r="AW18" s="73"/>
    </row>
    <row r="19" spans="1:49" s="54" customFormat="1" ht="11.25" x14ac:dyDescent="0.2">
      <c r="A19" s="86">
        <f t="shared" si="0"/>
        <v>17</v>
      </c>
      <c r="B19" s="59">
        <v>11.2</v>
      </c>
      <c r="C19" s="60">
        <v>35</v>
      </c>
      <c r="D19" s="186"/>
      <c r="E19" s="88">
        <f t="shared" si="1"/>
        <v>17</v>
      </c>
      <c r="F19" s="59">
        <v>20.71</v>
      </c>
      <c r="G19" s="60">
        <v>125</v>
      </c>
      <c r="H19" s="186"/>
      <c r="I19" s="88">
        <f t="shared" si="2"/>
        <v>17</v>
      </c>
      <c r="J19" s="59">
        <v>15.95</v>
      </c>
      <c r="K19" s="60">
        <v>103</v>
      </c>
      <c r="L19" s="186"/>
      <c r="M19" s="88">
        <f t="shared" si="3"/>
        <v>17</v>
      </c>
      <c r="N19" s="59">
        <v>13.22</v>
      </c>
      <c r="O19" s="60">
        <v>120</v>
      </c>
      <c r="P19" s="186"/>
      <c r="Q19" s="88">
        <f t="shared" si="4"/>
        <v>17</v>
      </c>
      <c r="R19" s="59">
        <v>11.9</v>
      </c>
      <c r="S19" s="60">
        <v>150</v>
      </c>
      <c r="T19" s="186"/>
      <c r="U19" s="88">
        <f t="shared" si="5"/>
        <v>17</v>
      </c>
      <c r="V19" s="59"/>
      <c r="W19" s="60"/>
      <c r="X19" s="186"/>
      <c r="Y19" s="88">
        <f t="shared" si="6"/>
        <v>17</v>
      </c>
      <c r="Z19" s="59">
        <v>10.199999999999999</v>
      </c>
      <c r="AA19" s="60">
        <v>25</v>
      </c>
      <c r="AB19" s="186"/>
      <c r="AC19" s="88">
        <f t="shared" si="7"/>
        <v>17</v>
      </c>
      <c r="AD19" s="59">
        <v>10.07</v>
      </c>
      <c r="AE19" s="60">
        <v>80</v>
      </c>
      <c r="AF19" s="186"/>
      <c r="AG19" s="88">
        <f t="shared" si="8"/>
        <v>17</v>
      </c>
      <c r="AH19" s="59">
        <v>11.08</v>
      </c>
      <c r="AI19" s="60">
        <v>5</v>
      </c>
      <c r="AJ19" s="186"/>
      <c r="AK19" s="88">
        <f t="shared" si="9"/>
        <v>17</v>
      </c>
      <c r="AL19" s="59">
        <v>10.61</v>
      </c>
      <c r="AM19" s="60">
        <v>20</v>
      </c>
      <c r="AN19" s="186"/>
      <c r="AO19" s="88">
        <f t="shared" si="10"/>
        <v>17</v>
      </c>
      <c r="AP19" s="59">
        <v>25.66</v>
      </c>
      <c r="AQ19" s="60">
        <v>60</v>
      </c>
      <c r="AR19" s="186">
        <v>1.7361111111111112E-2</v>
      </c>
      <c r="AS19" s="88">
        <f t="shared" si="11"/>
        <v>17</v>
      </c>
      <c r="AT19" s="59">
        <v>16</v>
      </c>
      <c r="AU19" s="60">
        <v>30</v>
      </c>
      <c r="AV19" s="186"/>
      <c r="AW19" s="73"/>
    </row>
    <row r="20" spans="1:49" s="54" customFormat="1" ht="11.25" x14ac:dyDescent="0.2">
      <c r="A20" s="86">
        <f t="shared" si="0"/>
        <v>18</v>
      </c>
      <c r="B20" s="59">
        <v>6.56</v>
      </c>
      <c r="C20" s="60">
        <v>10</v>
      </c>
      <c r="D20" s="186"/>
      <c r="E20" s="88">
        <f t="shared" si="1"/>
        <v>18</v>
      </c>
      <c r="F20" s="59">
        <v>16.8</v>
      </c>
      <c r="G20" s="60">
        <v>130</v>
      </c>
      <c r="H20" s="186">
        <v>1.0416666666666666E-2</v>
      </c>
      <c r="I20" s="88">
        <f t="shared" si="2"/>
        <v>18</v>
      </c>
      <c r="J20" s="59">
        <v>10.5</v>
      </c>
      <c r="K20" s="60">
        <v>6</v>
      </c>
      <c r="L20" s="186"/>
      <c r="M20" s="88">
        <f t="shared" si="3"/>
        <v>18</v>
      </c>
      <c r="N20" s="59">
        <v>12.86</v>
      </c>
      <c r="O20" s="60">
        <v>135</v>
      </c>
      <c r="P20" s="186"/>
      <c r="Q20" s="88">
        <f t="shared" si="4"/>
        <v>18</v>
      </c>
      <c r="R20" s="59">
        <v>11.61</v>
      </c>
      <c r="S20" s="60">
        <v>120</v>
      </c>
      <c r="T20" s="186"/>
      <c r="U20" s="88">
        <f t="shared" si="5"/>
        <v>18</v>
      </c>
      <c r="V20" s="59">
        <v>26</v>
      </c>
      <c r="W20" s="60">
        <v>610</v>
      </c>
      <c r="X20" s="186"/>
      <c r="Y20" s="88">
        <f t="shared" si="6"/>
        <v>18</v>
      </c>
      <c r="Z20" s="59">
        <v>11.48</v>
      </c>
      <c r="AA20" s="60">
        <v>85</v>
      </c>
      <c r="AB20" s="186"/>
      <c r="AC20" s="88">
        <f t="shared" si="7"/>
        <v>18</v>
      </c>
      <c r="AD20" s="59">
        <v>50.96</v>
      </c>
      <c r="AE20" s="60">
        <v>609</v>
      </c>
      <c r="AF20" s="186"/>
      <c r="AG20" s="88">
        <f t="shared" si="8"/>
        <v>18</v>
      </c>
      <c r="AH20" s="59">
        <v>11.78</v>
      </c>
      <c r="AI20" s="60">
        <v>6</v>
      </c>
      <c r="AJ20" s="186"/>
      <c r="AK20" s="88">
        <f t="shared" si="9"/>
        <v>18</v>
      </c>
      <c r="AL20" s="59">
        <v>16.75</v>
      </c>
      <c r="AM20" s="60">
        <v>200</v>
      </c>
      <c r="AN20" s="186"/>
      <c r="AO20" s="88">
        <f t="shared" si="10"/>
        <v>18</v>
      </c>
      <c r="AP20" s="59">
        <v>20.93</v>
      </c>
      <c r="AQ20" s="60">
        <v>130</v>
      </c>
      <c r="AR20" s="186"/>
      <c r="AS20" s="88">
        <f t="shared" si="11"/>
        <v>18</v>
      </c>
      <c r="AT20" s="59">
        <v>12.07</v>
      </c>
      <c r="AU20" s="60">
        <v>100</v>
      </c>
      <c r="AV20" s="186"/>
      <c r="AW20" s="73"/>
    </row>
    <row r="21" spans="1:49" s="54" customFormat="1" ht="11.25" x14ac:dyDescent="0.2">
      <c r="A21" s="86">
        <f t="shared" si="0"/>
        <v>19</v>
      </c>
      <c r="B21" s="59">
        <v>8.5</v>
      </c>
      <c r="C21" s="60">
        <v>180</v>
      </c>
      <c r="D21" s="186"/>
      <c r="E21" s="88">
        <f t="shared" si="1"/>
        <v>19</v>
      </c>
      <c r="F21" s="59">
        <v>7.84</v>
      </c>
      <c r="G21" s="60">
        <v>10</v>
      </c>
      <c r="H21" s="186"/>
      <c r="I21" s="88">
        <f t="shared" si="2"/>
        <v>19</v>
      </c>
      <c r="J21" s="59">
        <v>10.199999999999999</v>
      </c>
      <c r="K21" s="60">
        <v>5</v>
      </c>
      <c r="L21" s="186"/>
      <c r="M21" s="88">
        <f t="shared" si="3"/>
        <v>19</v>
      </c>
      <c r="N21" s="59">
        <v>10</v>
      </c>
      <c r="O21" s="60">
        <v>340</v>
      </c>
      <c r="P21" s="186"/>
      <c r="Q21" s="88">
        <f t="shared" si="4"/>
        <v>19</v>
      </c>
      <c r="R21" s="59"/>
      <c r="S21" s="60"/>
      <c r="T21" s="186"/>
      <c r="U21" s="88">
        <f t="shared" si="5"/>
        <v>19</v>
      </c>
      <c r="V21" s="59"/>
      <c r="W21" s="60"/>
      <c r="X21" s="186"/>
      <c r="Y21" s="88">
        <f t="shared" si="6"/>
        <v>19</v>
      </c>
      <c r="Z21" s="59">
        <v>17.43</v>
      </c>
      <c r="AA21" s="60">
        <v>80</v>
      </c>
      <c r="AB21" s="186"/>
      <c r="AC21" s="88">
        <f t="shared" si="7"/>
        <v>19</v>
      </c>
      <c r="AD21" s="59">
        <v>23.47</v>
      </c>
      <c r="AE21" s="60">
        <v>160</v>
      </c>
      <c r="AF21" s="186"/>
      <c r="AG21" s="88">
        <f t="shared" si="8"/>
        <v>19</v>
      </c>
      <c r="AH21" s="59">
        <v>12.41</v>
      </c>
      <c r="AI21" s="60">
        <v>40</v>
      </c>
      <c r="AJ21" s="186"/>
      <c r="AK21" s="88">
        <f t="shared" si="9"/>
        <v>19</v>
      </c>
      <c r="AL21" s="59">
        <v>14.36</v>
      </c>
      <c r="AM21" s="60">
        <v>343</v>
      </c>
      <c r="AN21" s="186"/>
      <c r="AO21" s="88">
        <f t="shared" si="10"/>
        <v>19</v>
      </c>
      <c r="AP21" s="59">
        <v>11.4</v>
      </c>
      <c r="AQ21" s="60">
        <v>33</v>
      </c>
      <c r="AR21" s="186"/>
      <c r="AS21" s="88">
        <f t="shared" si="11"/>
        <v>19</v>
      </c>
      <c r="AT21" s="59">
        <v>7.89</v>
      </c>
      <c r="AU21" s="60">
        <v>15</v>
      </c>
      <c r="AV21" s="186"/>
      <c r="AW21" s="73"/>
    </row>
    <row r="22" spans="1:49" s="54" customFormat="1" ht="11.25" x14ac:dyDescent="0.2">
      <c r="A22" s="86">
        <f t="shared" si="0"/>
        <v>20</v>
      </c>
      <c r="B22" s="59">
        <v>15.139999999999999</v>
      </c>
      <c r="C22" s="60">
        <v>244</v>
      </c>
      <c r="D22" s="186"/>
      <c r="E22" s="88">
        <f t="shared" si="1"/>
        <v>20</v>
      </c>
      <c r="F22" s="59">
        <v>10.219999999999999</v>
      </c>
      <c r="G22" s="60">
        <v>40</v>
      </c>
      <c r="H22" s="186"/>
      <c r="I22" s="88">
        <f t="shared" si="2"/>
        <v>20</v>
      </c>
      <c r="J22" s="59">
        <v>10.08</v>
      </c>
      <c r="K22" s="60">
        <v>45</v>
      </c>
      <c r="L22" s="186"/>
      <c r="M22" s="88">
        <f t="shared" si="3"/>
        <v>20</v>
      </c>
      <c r="N22" s="59">
        <v>10</v>
      </c>
      <c r="O22" s="60">
        <v>340</v>
      </c>
      <c r="P22" s="186"/>
      <c r="Q22" s="88">
        <f t="shared" si="4"/>
        <v>20</v>
      </c>
      <c r="R22" s="59">
        <v>20.03</v>
      </c>
      <c r="S22" s="60">
        <v>368</v>
      </c>
      <c r="T22" s="186"/>
      <c r="U22" s="88">
        <f t="shared" si="5"/>
        <v>20</v>
      </c>
      <c r="V22" s="59">
        <v>57.2</v>
      </c>
      <c r="W22" s="60">
        <v>750</v>
      </c>
      <c r="X22" s="186"/>
      <c r="Y22" s="88">
        <f t="shared" si="6"/>
        <v>20</v>
      </c>
      <c r="Z22" s="59">
        <v>10.050000000000001</v>
      </c>
      <c r="AA22" s="60">
        <v>115</v>
      </c>
      <c r="AB22" s="186"/>
      <c r="AC22" s="88">
        <f t="shared" si="7"/>
        <v>20</v>
      </c>
      <c r="AD22" s="59"/>
      <c r="AE22" s="60"/>
      <c r="AF22" s="186"/>
      <c r="AG22" s="88">
        <f t="shared" si="8"/>
        <v>20</v>
      </c>
      <c r="AH22" s="59">
        <v>24.66</v>
      </c>
      <c r="AI22" s="60">
        <v>25</v>
      </c>
      <c r="AJ22" s="186"/>
      <c r="AK22" s="88">
        <f t="shared" si="9"/>
        <v>20</v>
      </c>
      <c r="AL22" s="59">
        <v>41.43</v>
      </c>
      <c r="AM22" s="60">
        <v>408</v>
      </c>
      <c r="AN22" s="186"/>
      <c r="AO22" s="88">
        <f t="shared" si="10"/>
        <v>20</v>
      </c>
      <c r="AP22" s="59">
        <v>5.2</v>
      </c>
      <c r="AQ22" s="60">
        <v>3</v>
      </c>
      <c r="AR22" s="186"/>
      <c r="AS22" s="88">
        <f t="shared" si="11"/>
        <v>20</v>
      </c>
      <c r="AT22" s="59">
        <v>5.5</v>
      </c>
      <c r="AU22" s="60">
        <v>8</v>
      </c>
      <c r="AV22" s="186"/>
      <c r="AW22" s="73"/>
    </row>
    <row r="23" spans="1:49" s="54" customFormat="1" ht="11.25" x14ac:dyDescent="0.2">
      <c r="A23" s="86">
        <f t="shared" si="0"/>
        <v>21</v>
      </c>
      <c r="B23" s="59">
        <v>13.96</v>
      </c>
      <c r="C23" s="60">
        <v>140</v>
      </c>
      <c r="D23" s="186">
        <v>4.8611111111111112E-2</v>
      </c>
      <c r="E23" s="88">
        <f t="shared" si="1"/>
        <v>21</v>
      </c>
      <c r="F23" s="59">
        <v>10.61</v>
      </c>
      <c r="G23" s="60">
        <v>50</v>
      </c>
      <c r="H23" s="186"/>
      <c r="I23" s="88">
        <f t="shared" si="2"/>
        <v>21</v>
      </c>
      <c r="J23" s="59">
        <v>14.08</v>
      </c>
      <c r="K23" s="60">
        <v>46</v>
      </c>
      <c r="L23" s="186"/>
      <c r="M23" s="88">
        <f t="shared" si="3"/>
        <v>21</v>
      </c>
      <c r="N23" s="59">
        <v>82</v>
      </c>
      <c r="O23" s="60">
        <v>2147</v>
      </c>
      <c r="P23" s="186"/>
      <c r="Q23" s="88">
        <f t="shared" si="4"/>
        <v>21</v>
      </c>
      <c r="R23" s="59">
        <v>61.789999999999992</v>
      </c>
      <c r="S23" s="60">
        <v>450</v>
      </c>
      <c r="T23" s="186"/>
      <c r="U23" s="88">
        <f t="shared" si="5"/>
        <v>21</v>
      </c>
      <c r="V23" s="59">
        <v>14.5</v>
      </c>
      <c r="W23" s="60">
        <v>320</v>
      </c>
      <c r="X23" s="186"/>
      <c r="Y23" s="88">
        <f t="shared" si="6"/>
        <v>21</v>
      </c>
      <c r="Z23" s="59">
        <v>55.230000000000004</v>
      </c>
      <c r="AA23" s="60">
        <v>353</v>
      </c>
      <c r="AB23" s="186"/>
      <c r="AC23" s="88">
        <f t="shared" si="7"/>
        <v>21</v>
      </c>
      <c r="AD23" s="59">
        <v>7.28</v>
      </c>
      <c r="AE23" s="60">
        <v>10</v>
      </c>
      <c r="AF23" s="186"/>
      <c r="AG23" s="88">
        <f t="shared" si="8"/>
        <v>21</v>
      </c>
      <c r="AH23" s="59">
        <v>10.9</v>
      </c>
      <c r="AI23" s="60">
        <v>30</v>
      </c>
      <c r="AJ23" s="186"/>
      <c r="AK23" s="88">
        <f t="shared" si="9"/>
        <v>21</v>
      </c>
      <c r="AL23" s="59">
        <v>46.81</v>
      </c>
      <c r="AM23" s="60">
        <v>338</v>
      </c>
      <c r="AN23" s="186">
        <v>1.3888888888888888E-2</v>
      </c>
      <c r="AO23" s="88">
        <f t="shared" si="10"/>
        <v>21</v>
      </c>
      <c r="AP23" s="59">
        <v>10</v>
      </c>
      <c r="AQ23" s="60">
        <v>35</v>
      </c>
      <c r="AR23" s="186"/>
      <c r="AS23" s="88">
        <f t="shared" si="11"/>
        <v>21</v>
      </c>
      <c r="AT23" s="59">
        <v>10.14</v>
      </c>
      <c r="AU23" s="60">
        <v>20</v>
      </c>
      <c r="AV23" s="186"/>
      <c r="AW23" s="73"/>
    </row>
    <row r="24" spans="1:49" s="54" customFormat="1" ht="11.25" x14ac:dyDescent="0.2">
      <c r="A24" s="86">
        <f t="shared" si="0"/>
        <v>22</v>
      </c>
      <c r="B24" s="59">
        <v>8.1</v>
      </c>
      <c r="C24" s="60">
        <v>30</v>
      </c>
      <c r="D24" s="186">
        <v>3.125E-2</v>
      </c>
      <c r="E24" s="88">
        <f t="shared" si="1"/>
        <v>22</v>
      </c>
      <c r="F24" s="59">
        <v>11.04</v>
      </c>
      <c r="G24" s="60">
        <v>50</v>
      </c>
      <c r="H24" s="186"/>
      <c r="I24" s="88">
        <f t="shared" si="2"/>
        <v>22</v>
      </c>
      <c r="J24" s="59">
        <v>15.95</v>
      </c>
      <c r="K24" s="60">
        <v>103</v>
      </c>
      <c r="L24" s="186"/>
      <c r="M24" s="88">
        <f t="shared" si="3"/>
        <v>22</v>
      </c>
      <c r="N24" s="54">
        <v>34.67</v>
      </c>
      <c r="O24" s="54">
        <v>283</v>
      </c>
      <c r="P24" s="186"/>
      <c r="Q24" s="88">
        <f t="shared" si="4"/>
        <v>22</v>
      </c>
      <c r="R24" s="59">
        <v>5.16</v>
      </c>
      <c r="S24" s="54">
        <v>15</v>
      </c>
      <c r="T24" s="186"/>
      <c r="U24" s="88">
        <f t="shared" si="5"/>
        <v>22</v>
      </c>
      <c r="V24" s="59"/>
      <c r="W24" s="60"/>
      <c r="X24" s="186"/>
      <c r="Y24" s="88">
        <f t="shared" si="6"/>
        <v>22</v>
      </c>
      <c r="Z24" s="59">
        <v>10.050000000000001</v>
      </c>
      <c r="AA24" s="60">
        <v>40</v>
      </c>
      <c r="AB24" s="186"/>
      <c r="AC24" s="88">
        <f t="shared" si="7"/>
        <v>22</v>
      </c>
      <c r="AD24" s="59">
        <v>5.05</v>
      </c>
      <c r="AE24" s="60">
        <v>20</v>
      </c>
      <c r="AF24" s="186"/>
      <c r="AG24" s="88">
        <f t="shared" si="8"/>
        <v>22</v>
      </c>
      <c r="AH24" s="59">
        <v>15.9</v>
      </c>
      <c r="AI24" s="60">
        <v>103</v>
      </c>
      <c r="AJ24" s="186"/>
      <c r="AK24" s="88">
        <f t="shared" si="9"/>
        <v>22</v>
      </c>
      <c r="AL24" s="59">
        <v>5.15</v>
      </c>
      <c r="AM24" s="60">
        <v>3</v>
      </c>
      <c r="AN24" s="186"/>
      <c r="AO24" s="88">
        <f t="shared" si="10"/>
        <v>22</v>
      </c>
      <c r="AP24" s="59">
        <v>10</v>
      </c>
      <c r="AQ24" s="60">
        <v>30</v>
      </c>
      <c r="AR24" s="186"/>
      <c r="AS24" s="88">
        <f t="shared" si="11"/>
        <v>22</v>
      </c>
      <c r="AT24" s="59">
        <v>23.13</v>
      </c>
      <c r="AU24" s="60">
        <v>75</v>
      </c>
      <c r="AV24" s="186"/>
      <c r="AW24" s="73"/>
    </row>
    <row r="25" spans="1:49" s="54" customFormat="1" ht="11.25" x14ac:dyDescent="0.2">
      <c r="A25" s="86">
        <f t="shared" si="0"/>
        <v>23</v>
      </c>
      <c r="B25" s="59"/>
      <c r="C25" s="60"/>
      <c r="D25" s="186"/>
      <c r="E25" s="88">
        <f t="shared" si="1"/>
        <v>23</v>
      </c>
      <c r="F25" s="59">
        <v>11.31</v>
      </c>
      <c r="G25" s="60">
        <v>50</v>
      </c>
      <c r="H25" s="186"/>
      <c r="I25" s="88">
        <f t="shared" si="2"/>
        <v>23</v>
      </c>
      <c r="J25" s="59">
        <v>17.18</v>
      </c>
      <c r="K25" s="60">
        <v>63</v>
      </c>
      <c r="L25" s="186"/>
      <c r="M25" s="88">
        <f t="shared" si="3"/>
        <v>23</v>
      </c>
      <c r="N25" s="59">
        <v>11.02</v>
      </c>
      <c r="O25" s="60">
        <v>15</v>
      </c>
      <c r="P25" s="186"/>
      <c r="Q25" s="88">
        <f t="shared" si="4"/>
        <v>23</v>
      </c>
      <c r="R25" s="59">
        <v>13.53</v>
      </c>
      <c r="S25" s="60">
        <v>20</v>
      </c>
      <c r="T25" s="186"/>
      <c r="U25" s="88">
        <f t="shared" si="5"/>
        <v>23</v>
      </c>
      <c r="V25" s="59"/>
      <c r="W25" s="60"/>
      <c r="X25" s="186"/>
      <c r="Y25" s="88">
        <f t="shared" si="6"/>
        <v>23</v>
      </c>
      <c r="Z25" s="59">
        <v>10.43</v>
      </c>
      <c r="AA25" s="60">
        <v>10</v>
      </c>
      <c r="AB25" s="186"/>
      <c r="AC25" s="88">
        <f t="shared" si="7"/>
        <v>23</v>
      </c>
      <c r="AD25" s="59">
        <v>5.12</v>
      </c>
      <c r="AE25" s="60">
        <v>3</v>
      </c>
      <c r="AF25" s="186"/>
      <c r="AG25" s="88">
        <f t="shared" si="8"/>
        <v>23</v>
      </c>
      <c r="AH25" s="59">
        <v>5.15</v>
      </c>
      <c r="AI25" s="60">
        <v>3</v>
      </c>
      <c r="AJ25" s="186"/>
      <c r="AK25" s="88">
        <f t="shared" si="9"/>
        <v>23</v>
      </c>
      <c r="AL25" s="59">
        <v>6</v>
      </c>
      <c r="AM25" s="60">
        <v>5</v>
      </c>
      <c r="AN25" s="186"/>
      <c r="AO25" s="88">
        <f t="shared" si="10"/>
        <v>23</v>
      </c>
      <c r="AP25" s="59">
        <v>11</v>
      </c>
      <c r="AQ25" s="60">
        <v>30</v>
      </c>
      <c r="AR25" s="186"/>
      <c r="AS25" s="88">
        <f t="shared" si="11"/>
        <v>23</v>
      </c>
      <c r="AT25" s="59">
        <v>25</v>
      </c>
      <c r="AU25" s="60">
        <v>180</v>
      </c>
      <c r="AV25" s="186"/>
      <c r="AW25" s="73"/>
    </row>
    <row r="26" spans="1:49" s="54" customFormat="1" ht="11.25" x14ac:dyDescent="0.2">
      <c r="A26" s="86">
        <f t="shared" si="0"/>
        <v>24</v>
      </c>
      <c r="B26" s="59">
        <v>10.8</v>
      </c>
      <c r="C26" s="60">
        <v>85</v>
      </c>
      <c r="D26" s="186"/>
      <c r="E26" s="88">
        <f t="shared" si="1"/>
        <v>24</v>
      </c>
      <c r="F26" s="59">
        <v>51.78</v>
      </c>
      <c r="G26" s="60">
        <v>472</v>
      </c>
      <c r="H26" s="186"/>
      <c r="I26" s="88">
        <f t="shared" si="2"/>
        <v>24</v>
      </c>
      <c r="J26" s="59"/>
      <c r="K26" s="60"/>
      <c r="L26" s="186"/>
      <c r="M26" s="88">
        <f t="shared" si="3"/>
        <v>24</v>
      </c>
      <c r="N26" s="59"/>
      <c r="O26" s="60"/>
      <c r="P26" s="186"/>
      <c r="Q26" s="88">
        <f t="shared" si="4"/>
        <v>24</v>
      </c>
      <c r="R26" s="59"/>
      <c r="S26" s="60"/>
      <c r="T26" s="186">
        <v>1.0416666666666666E-2</v>
      </c>
      <c r="U26" s="88">
        <f t="shared" si="5"/>
        <v>24</v>
      </c>
      <c r="V26" s="59"/>
      <c r="W26" s="60"/>
      <c r="X26" s="186"/>
      <c r="Y26" s="88">
        <f t="shared" si="6"/>
        <v>24</v>
      </c>
      <c r="Z26" s="59">
        <v>8.64</v>
      </c>
      <c r="AA26" s="60">
        <v>85</v>
      </c>
      <c r="AB26" s="186"/>
      <c r="AC26" s="88">
        <f t="shared" si="7"/>
        <v>24</v>
      </c>
      <c r="AD26" s="59">
        <v>15.11</v>
      </c>
      <c r="AE26" s="60">
        <v>343</v>
      </c>
      <c r="AF26" s="186"/>
      <c r="AG26" s="88">
        <f t="shared" si="8"/>
        <v>24</v>
      </c>
      <c r="AH26" s="59">
        <v>11</v>
      </c>
      <c r="AI26" s="60">
        <v>30</v>
      </c>
      <c r="AJ26" s="186"/>
      <c r="AK26" s="88">
        <f t="shared" si="9"/>
        <v>24</v>
      </c>
      <c r="AL26" s="59">
        <v>5.15</v>
      </c>
      <c r="AM26" s="60">
        <v>3</v>
      </c>
      <c r="AN26" s="186"/>
      <c r="AO26" s="88">
        <f t="shared" si="10"/>
        <v>24</v>
      </c>
      <c r="AP26" s="59">
        <v>30.26</v>
      </c>
      <c r="AQ26" s="60">
        <v>33</v>
      </c>
      <c r="AR26" s="186"/>
      <c r="AS26" s="88">
        <f t="shared" si="11"/>
        <v>24</v>
      </c>
      <c r="AT26" s="59">
        <v>14.8</v>
      </c>
      <c r="AU26" s="60">
        <v>330</v>
      </c>
      <c r="AV26" s="186"/>
      <c r="AW26" s="73"/>
    </row>
    <row r="27" spans="1:49" s="54" customFormat="1" ht="11.25" x14ac:dyDescent="0.2">
      <c r="A27" s="86">
        <f t="shared" si="0"/>
        <v>25</v>
      </c>
      <c r="B27" s="59">
        <v>12.12</v>
      </c>
      <c r="C27" s="60">
        <v>50</v>
      </c>
      <c r="D27" s="186"/>
      <c r="E27" s="88">
        <f t="shared" si="1"/>
        <v>25</v>
      </c>
      <c r="F27" s="59">
        <v>33.81</v>
      </c>
      <c r="G27" s="60">
        <v>235</v>
      </c>
      <c r="H27" s="186"/>
      <c r="I27" s="88">
        <f t="shared" si="2"/>
        <v>25</v>
      </c>
      <c r="J27" s="59"/>
      <c r="K27" s="60"/>
      <c r="L27" s="186"/>
      <c r="M27" s="88">
        <f t="shared" si="3"/>
        <v>25</v>
      </c>
      <c r="N27" s="59">
        <v>10.1</v>
      </c>
      <c r="O27" s="60">
        <v>10</v>
      </c>
      <c r="P27" s="186"/>
      <c r="Q27" s="88">
        <f t="shared" si="4"/>
        <v>25</v>
      </c>
      <c r="R27" s="59">
        <v>12.05</v>
      </c>
      <c r="S27" s="60">
        <v>188</v>
      </c>
      <c r="T27" s="186"/>
      <c r="U27" s="88">
        <f t="shared" si="5"/>
        <v>25</v>
      </c>
      <c r="V27" s="59">
        <v>10.07</v>
      </c>
      <c r="W27" s="60">
        <v>20</v>
      </c>
      <c r="X27" s="186"/>
      <c r="Y27" s="88">
        <f t="shared" si="6"/>
        <v>25</v>
      </c>
      <c r="Z27" s="59">
        <v>10.42</v>
      </c>
      <c r="AA27" s="60">
        <v>100</v>
      </c>
      <c r="AB27" s="186"/>
      <c r="AC27" s="88">
        <f t="shared" si="7"/>
        <v>25</v>
      </c>
      <c r="AD27" s="59">
        <v>24</v>
      </c>
      <c r="AE27" s="60">
        <v>127</v>
      </c>
      <c r="AF27" s="186"/>
      <c r="AG27" s="88">
        <f t="shared" si="8"/>
        <v>25</v>
      </c>
      <c r="AH27" s="59">
        <v>10.5</v>
      </c>
      <c r="AI27" s="60">
        <v>80</v>
      </c>
      <c r="AJ27" s="186"/>
      <c r="AK27" s="88">
        <f t="shared" si="9"/>
        <v>25</v>
      </c>
      <c r="AL27" s="59">
        <v>13</v>
      </c>
      <c r="AM27" s="60">
        <v>30</v>
      </c>
      <c r="AN27" s="186"/>
      <c r="AO27" s="88">
        <f t="shared" si="10"/>
        <v>25</v>
      </c>
      <c r="AP27" s="59">
        <v>12.3</v>
      </c>
      <c r="AQ27" s="60">
        <v>30</v>
      </c>
      <c r="AR27" s="186"/>
      <c r="AS27" s="88">
        <f t="shared" si="11"/>
        <v>25</v>
      </c>
      <c r="AT27" s="59">
        <v>10.06</v>
      </c>
      <c r="AU27" s="60">
        <v>10</v>
      </c>
      <c r="AV27" s="186"/>
      <c r="AW27" s="73"/>
    </row>
    <row r="28" spans="1:49" s="54" customFormat="1" ht="11.25" x14ac:dyDescent="0.2">
      <c r="A28" s="86">
        <f t="shared" si="0"/>
        <v>26</v>
      </c>
      <c r="B28" s="59">
        <v>15</v>
      </c>
      <c r="C28" s="60">
        <v>20</v>
      </c>
      <c r="D28" s="186"/>
      <c r="E28" s="88">
        <f t="shared" si="1"/>
        <v>26</v>
      </c>
      <c r="F28" s="59">
        <v>6.03</v>
      </c>
      <c r="G28" s="60">
        <v>10</v>
      </c>
      <c r="H28" s="186"/>
      <c r="I28" s="88">
        <f t="shared" si="2"/>
        <v>26</v>
      </c>
      <c r="J28" s="59"/>
      <c r="K28" s="60"/>
      <c r="L28" s="186"/>
      <c r="M28" s="88">
        <f t="shared" si="3"/>
        <v>26</v>
      </c>
      <c r="N28" s="59">
        <v>5.35</v>
      </c>
      <c r="O28" s="60">
        <v>3</v>
      </c>
      <c r="P28" s="186">
        <v>1.0416666666666666E-2</v>
      </c>
      <c r="Q28" s="88">
        <f t="shared" si="4"/>
        <v>26</v>
      </c>
      <c r="R28" s="59">
        <v>15.47</v>
      </c>
      <c r="S28" s="60">
        <v>78</v>
      </c>
      <c r="T28" s="186"/>
      <c r="U28" s="88">
        <f t="shared" si="5"/>
        <v>26</v>
      </c>
      <c r="V28" s="59">
        <v>10.65</v>
      </c>
      <c r="W28" s="60">
        <v>15</v>
      </c>
      <c r="X28" s="186"/>
      <c r="Y28" s="88">
        <f t="shared" si="6"/>
        <v>26</v>
      </c>
      <c r="Z28" s="59">
        <v>10.36</v>
      </c>
      <c r="AA28" s="60">
        <v>20</v>
      </c>
      <c r="AB28" s="186"/>
      <c r="AC28" s="88">
        <f t="shared" si="7"/>
        <v>26</v>
      </c>
      <c r="AD28" s="59">
        <v>15.46</v>
      </c>
      <c r="AE28" s="60">
        <v>127</v>
      </c>
      <c r="AF28" s="186"/>
      <c r="AG28" s="88">
        <f t="shared" si="8"/>
        <v>26</v>
      </c>
      <c r="AH28" s="59">
        <v>10.86</v>
      </c>
      <c r="AI28" s="60">
        <v>30</v>
      </c>
      <c r="AJ28" s="186"/>
      <c r="AK28" s="88">
        <f t="shared" si="9"/>
        <v>26</v>
      </c>
      <c r="AL28" s="59">
        <v>8</v>
      </c>
      <c r="AM28" s="60">
        <v>35</v>
      </c>
      <c r="AN28" s="186"/>
      <c r="AO28" s="88">
        <f t="shared" si="10"/>
        <v>26</v>
      </c>
      <c r="AP28" s="59">
        <v>50</v>
      </c>
      <c r="AQ28" s="60">
        <v>60</v>
      </c>
      <c r="AR28" s="186"/>
      <c r="AS28" s="88">
        <f t="shared" si="11"/>
        <v>26</v>
      </c>
      <c r="AT28" s="59">
        <v>13.25</v>
      </c>
      <c r="AU28" s="60">
        <v>90</v>
      </c>
      <c r="AV28" s="186"/>
      <c r="AW28" s="73"/>
    </row>
    <row r="29" spans="1:49" s="54" customFormat="1" ht="11.25" x14ac:dyDescent="0.2">
      <c r="A29" s="86">
        <f t="shared" si="0"/>
        <v>27</v>
      </c>
      <c r="B29" s="59">
        <v>27.770000000000003</v>
      </c>
      <c r="C29" s="60">
        <v>387</v>
      </c>
      <c r="D29" s="186"/>
      <c r="E29" s="88">
        <f t="shared" si="1"/>
        <v>27</v>
      </c>
      <c r="F29" s="59">
        <v>6.3</v>
      </c>
      <c r="G29" s="60">
        <v>10</v>
      </c>
      <c r="H29" s="186"/>
      <c r="I29" s="88">
        <f t="shared" si="2"/>
        <v>27</v>
      </c>
      <c r="J29" s="59"/>
      <c r="K29" s="60"/>
      <c r="L29" s="186"/>
      <c r="M29" s="88">
        <f t="shared" si="3"/>
        <v>27</v>
      </c>
      <c r="N29" s="59">
        <v>11.1</v>
      </c>
      <c r="O29" s="60">
        <v>85</v>
      </c>
      <c r="P29" s="186"/>
      <c r="Q29" s="88">
        <f t="shared" si="4"/>
        <v>27</v>
      </c>
      <c r="R29" s="59">
        <v>62.05</v>
      </c>
      <c r="S29" s="60">
        <v>750</v>
      </c>
      <c r="T29" s="186"/>
      <c r="U29" s="88">
        <f t="shared" si="5"/>
        <v>27</v>
      </c>
      <c r="V29" s="59">
        <v>10.15</v>
      </c>
      <c r="W29" s="60">
        <v>40</v>
      </c>
      <c r="X29" s="186"/>
      <c r="Y29" s="88">
        <f t="shared" si="6"/>
        <v>27</v>
      </c>
      <c r="Z29" s="59">
        <v>14.44</v>
      </c>
      <c r="AA29" s="60">
        <v>45</v>
      </c>
      <c r="AB29" s="186"/>
      <c r="AC29" s="88">
        <f t="shared" si="7"/>
        <v>27</v>
      </c>
      <c r="AD29" s="59">
        <v>10.15</v>
      </c>
      <c r="AE29" s="60">
        <v>40</v>
      </c>
      <c r="AF29" s="186"/>
      <c r="AG29" s="88">
        <f t="shared" si="8"/>
        <v>27</v>
      </c>
      <c r="AH29" s="59">
        <v>20.36</v>
      </c>
      <c r="AI29" s="60">
        <v>25</v>
      </c>
      <c r="AJ29" s="186"/>
      <c r="AK29" s="88">
        <f t="shared" si="9"/>
        <v>27</v>
      </c>
      <c r="AL29" s="59">
        <v>20.25</v>
      </c>
      <c r="AM29" s="60">
        <v>50</v>
      </c>
      <c r="AN29" s="186"/>
      <c r="AO29" s="88">
        <f t="shared" si="10"/>
        <v>27</v>
      </c>
      <c r="AP29" s="59">
        <v>5.2</v>
      </c>
      <c r="AQ29" s="60">
        <v>3</v>
      </c>
      <c r="AR29" s="186"/>
      <c r="AS29" s="88">
        <f t="shared" si="11"/>
        <v>27</v>
      </c>
      <c r="AT29" s="59">
        <v>5.81</v>
      </c>
      <c r="AU29" s="60">
        <v>10</v>
      </c>
      <c r="AV29" s="186"/>
      <c r="AW29" s="73"/>
    </row>
    <row r="30" spans="1:49" s="54" customFormat="1" ht="11.25" x14ac:dyDescent="0.2">
      <c r="A30" s="86">
        <f t="shared" si="0"/>
        <v>28</v>
      </c>
      <c r="B30" s="59">
        <v>24.47</v>
      </c>
      <c r="C30" s="60">
        <v>200</v>
      </c>
      <c r="D30" s="186"/>
      <c r="E30" s="88">
        <f t="shared" si="1"/>
        <v>28</v>
      </c>
      <c r="F30" s="59">
        <v>6.3</v>
      </c>
      <c r="G30" s="60">
        <v>10</v>
      </c>
      <c r="H30" s="186"/>
      <c r="I30" s="88">
        <f t="shared" si="2"/>
        <v>28</v>
      </c>
      <c r="J30" s="59"/>
      <c r="K30" s="60"/>
      <c r="L30" s="186"/>
      <c r="M30" s="88">
        <f t="shared" si="3"/>
        <v>28</v>
      </c>
      <c r="N30" s="59">
        <v>17</v>
      </c>
      <c r="O30" s="60">
        <v>325</v>
      </c>
      <c r="P30" s="186"/>
      <c r="Q30" s="88">
        <f t="shared" si="4"/>
        <v>28</v>
      </c>
      <c r="R30" s="59">
        <v>10.76</v>
      </c>
      <c r="S30" s="60">
        <v>30</v>
      </c>
      <c r="T30" s="186"/>
      <c r="U30" s="88">
        <f t="shared" si="5"/>
        <v>28</v>
      </c>
      <c r="V30" s="59">
        <v>22.33</v>
      </c>
      <c r="W30" s="60">
        <v>100</v>
      </c>
      <c r="X30" s="186"/>
      <c r="Y30" s="88">
        <f t="shared" si="6"/>
        <v>28</v>
      </c>
      <c r="Z30" s="59">
        <v>90.83</v>
      </c>
      <c r="AA30" s="60">
        <v>868</v>
      </c>
      <c r="AB30" s="186"/>
      <c r="AC30" s="88">
        <f t="shared" si="7"/>
        <v>28</v>
      </c>
      <c r="AD30" s="59">
        <v>9.2799999999999994</v>
      </c>
      <c r="AE30" s="60">
        <v>75</v>
      </c>
      <c r="AF30" s="186"/>
      <c r="AG30" s="88">
        <f t="shared" si="8"/>
        <v>28</v>
      </c>
      <c r="AH30" s="59">
        <v>16.060000000000002</v>
      </c>
      <c r="AI30" s="60">
        <v>70</v>
      </c>
      <c r="AJ30" s="186"/>
      <c r="AK30" s="88">
        <f t="shared" si="9"/>
        <v>28</v>
      </c>
      <c r="AL30" s="59">
        <v>30.63</v>
      </c>
      <c r="AM30" s="60">
        <v>120</v>
      </c>
      <c r="AN30" s="186"/>
      <c r="AO30" s="88">
        <f t="shared" si="10"/>
        <v>28</v>
      </c>
      <c r="AP30" s="59">
        <v>10.180000000000001</v>
      </c>
      <c r="AQ30" s="60">
        <v>21</v>
      </c>
      <c r="AR30" s="186"/>
      <c r="AS30" s="88">
        <f t="shared" si="11"/>
        <v>28</v>
      </c>
      <c r="AT30" s="59">
        <v>6</v>
      </c>
      <c r="AU30" s="60">
        <v>10</v>
      </c>
      <c r="AV30" s="186"/>
      <c r="AW30" s="73"/>
    </row>
    <row r="31" spans="1:49" s="54" customFormat="1" ht="11.25" x14ac:dyDescent="0.2">
      <c r="A31" s="86">
        <f t="shared" si="0"/>
        <v>29</v>
      </c>
      <c r="B31" s="59">
        <v>10</v>
      </c>
      <c r="C31" s="60">
        <v>20</v>
      </c>
      <c r="D31" s="186"/>
      <c r="E31" s="88"/>
      <c r="F31" s="59"/>
      <c r="G31" s="60"/>
      <c r="H31" s="186"/>
      <c r="I31" s="88">
        <f t="shared" si="2"/>
        <v>29</v>
      </c>
      <c r="J31" s="59"/>
      <c r="K31" s="60"/>
      <c r="L31" s="186"/>
      <c r="M31" s="88">
        <f t="shared" si="3"/>
        <v>29</v>
      </c>
      <c r="N31" s="59">
        <v>20.25</v>
      </c>
      <c r="O31" s="60">
        <v>89</v>
      </c>
      <c r="P31" s="186"/>
      <c r="Q31" s="88">
        <f t="shared" si="4"/>
        <v>29</v>
      </c>
      <c r="R31" s="59">
        <v>10.01</v>
      </c>
      <c r="S31" s="60">
        <v>30</v>
      </c>
      <c r="T31" s="186"/>
      <c r="U31" s="88">
        <f t="shared" si="5"/>
        <v>29</v>
      </c>
      <c r="V31" s="59">
        <v>26.43</v>
      </c>
      <c r="W31" s="60">
        <v>185</v>
      </c>
      <c r="X31" s="186"/>
      <c r="Y31" s="88">
        <f t="shared" si="6"/>
        <v>29</v>
      </c>
      <c r="Z31" s="59">
        <v>10.47</v>
      </c>
      <c r="AA31" s="60">
        <v>25</v>
      </c>
      <c r="AB31" s="186"/>
      <c r="AC31" s="88">
        <f t="shared" si="7"/>
        <v>29</v>
      </c>
      <c r="AD31" s="59">
        <v>14.86</v>
      </c>
      <c r="AE31" s="60">
        <v>240</v>
      </c>
      <c r="AF31" s="186"/>
      <c r="AG31" s="88">
        <f t="shared" si="8"/>
        <v>29</v>
      </c>
      <c r="AH31" s="59">
        <v>35.659999999999997</v>
      </c>
      <c r="AI31" s="60">
        <v>200</v>
      </c>
      <c r="AJ31" s="186"/>
      <c r="AK31" s="88">
        <f t="shared" si="9"/>
        <v>29</v>
      </c>
      <c r="AL31" s="59">
        <v>10.33</v>
      </c>
      <c r="AM31" s="60">
        <v>35</v>
      </c>
      <c r="AN31" s="186"/>
      <c r="AO31" s="88">
        <f t="shared" si="10"/>
        <v>29</v>
      </c>
      <c r="AP31" s="59">
        <v>11</v>
      </c>
      <c r="AQ31" s="60">
        <v>30</v>
      </c>
      <c r="AR31" s="186"/>
      <c r="AS31" s="88">
        <f t="shared" si="11"/>
        <v>29</v>
      </c>
      <c r="AT31" s="59">
        <v>30.64</v>
      </c>
      <c r="AU31" s="60">
        <v>380</v>
      </c>
      <c r="AV31" s="186"/>
      <c r="AW31" s="73"/>
    </row>
    <row r="32" spans="1:49" s="54" customFormat="1" ht="11.25" x14ac:dyDescent="0.2">
      <c r="A32" s="86">
        <f t="shared" si="0"/>
        <v>30</v>
      </c>
      <c r="B32" s="59">
        <v>10.349999999999998</v>
      </c>
      <c r="C32" s="60">
        <v>40</v>
      </c>
      <c r="D32" s="186"/>
      <c r="E32" s="88"/>
      <c r="F32" s="59"/>
      <c r="G32" s="60"/>
      <c r="H32" s="186"/>
      <c r="I32" s="88">
        <f t="shared" si="2"/>
        <v>30</v>
      </c>
      <c r="J32" s="59"/>
      <c r="K32" s="60"/>
      <c r="L32" s="186"/>
      <c r="M32" s="88">
        <f t="shared" si="3"/>
        <v>30</v>
      </c>
      <c r="N32" s="59">
        <v>11.42</v>
      </c>
      <c r="O32" s="60">
        <v>25</v>
      </c>
      <c r="P32" s="186"/>
      <c r="Q32" s="88">
        <f t="shared" si="4"/>
        <v>30</v>
      </c>
      <c r="R32" s="59">
        <v>11.2</v>
      </c>
      <c r="S32" s="60">
        <v>25</v>
      </c>
      <c r="T32" s="186"/>
      <c r="U32" s="88">
        <f t="shared" si="5"/>
        <v>30</v>
      </c>
      <c r="V32" s="59">
        <v>22.650000000000002</v>
      </c>
      <c r="W32" s="60">
        <v>137</v>
      </c>
      <c r="X32" s="186">
        <v>1.1111111111111112E-2</v>
      </c>
      <c r="Y32" s="88">
        <f t="shared" si="6"/>
        <v>30</v>
      </c>
      <c r="Z32" s="59">
        <v>10.5</v>
      </c>
      <c r="AA32" s="60">
        <v>25</v>
      </c>
      <c r="AB32" s="186"/>
      <c r="AC32" s="88">
        <f t="shared" si="7"/>
        <v>30</v>
      </c>
      <c r="AD32" s="59">
        <v>5.15</v>
      </c>
      <c r="AE32" s="60">
        <v>3</v>
      </c>
      <c r="AF32" s="186"/>
      <c r="AG32" s="88">
        <f t="shared" si="8"/>
        <v>30</v>
      </c>
      <c r="AH32" s="59">
        <v>22.55</v>
      </c>
      <c r="AI32" s="60">
        <v>115</v>
      </c>
      <c r="AJ32" s="186"/>
      <c r="AK32" s="88">
        <f t="shared" si="9"/>
        <v>30</v>
      </c>
      <c r="AL32" s="59"/>
      <c r="AM32" s="60"/>
      <c r="AN32" s="186"/>
      <c r="AO32" s="88">
        <f t="shared" si="10"/>
        <v>30</v>
      </c>
      <c r="AP32" s="59"/>
      <c r="AQ32" s="60"/>
      <c r="AR32" s="186"/>
      <c r="AS32" s="88">
        <f t="shared" si="11"/>
        <v>30</v>
      </c>
      <c r="AT32" s="59">
        <v>24.66</v>
      </c>
      <c r="AU32" s="60">
        <v>25</v>
      </c>
      <c r="AV32" s="186"/>
      <c r="AW32" s="73"/>
    </row>
    <row r="33" spans="1:49" s="54" customFormat="1" ht="11.25" x14ac:dyDescent="0.2">
      <c r="A33" s="87">
        <f t="shared" si="0"/>
        <v>31</v>
      </c>
      <c r="B33" s="68">
        <v>5</v>
      </c>
      <c r="C33" s="69">
        <v>3</v>
      </c>
      <c r="D33" s="187"/>
      <c r="E33" s="89"/>
      <c r="F33" s="68"/>
      <c r="G33" s="69"/>
      <c r="H33" s="187"/>
      <c r="I33" s="89">
        <f t="shared" si="2"/>
        <v>31</v>
      </c>
      <c r="J33" s="68"/>
      <c r="K33" s="69"/>
      <c r="L33" s="187"/>
      <c r="M33" s="89"/>
      <c r="N33" s="68"/>
      <c r="O33" s="69"/>
      <c r="P33" s="187"/>
      <c r="Q33" s="89">
        <f t="shared" si="4"/>
        <v>31</v>
      </c>
      <c r="R33" s="68">
        <v>84.490000000000009</v>
      </c>
      <c r="S33" s="69">
        <v>785</v>
      </c>
      <c r="T33" s="187"/>
      <c r="U33" s="89"/>
      <c r="V33" s="68"/>
      <c r="W33" s="69"/>
      <c r="X33" s="187"/>
      <c r="Y33" s="89">
        <f t="shared" si="6"/>
        <v>31</v>
      </c>
      <c r="Z33" s="68">
        <v>10.06</v>
      </c>
      <c r="AA33" s="69">
        <v>65</v>
      </c>
      <c r="AB33" s="187"/>
      <c r="AC33" s="89">
        <f t="shared" si="7"/>
        <v>31</v>
      </c>
      <c r="AD33" s="68">
        <v>10</v>
      </c>
      <c r="AE33" s="69">
        <v>310</v>
      </c>
      <c r="AF33" s="187"/>
      <c r="AG33" s="89"/>
      <c r="AH33" s="68"/>
      <c r="AI33" s="69"/>
      <c r="AJ33" s="187"/>
      <c r="AK33" s="89">
        <f t="shared" si="9"/>
        <v>31</v>
      </c>
      <c r="AL33" s="68">
        <v>10.3</v>
      </c>
      <c r="AM33" s="69">
        <v>35</v>
      </c>
      <c r="AN33" s="187"/>
      <c r="AO33" s="89"/>
      <c r="AP33" s="68"/>
      <c r="AQ33" s="69"/>
      <c r="AR33" s="187"/>
      <c r="AS33" s="89">
        <f t="shared" si="11"/>
        <v>31</v>
      </c>
      <c r="AT33" s="68">
        <v>10.1</v>
      </c>
      <c r="AU33" s="69">
        <v>306</v>
      </c>
      <c r="AV33" s="187">
        <v>2.0833333333333332E-2</v>
      </c>
      <c r="AW33" s="73"/>
    </row>
    <row r="34" spans="1:49" s="54" customFormat="1" ht="11.25" x14ac:dyDescent="0.2">
      <c r="A34" s="50" t="s">
        <v>95</v>
      </c>
      <c r="B34" s="52">
        <f>SUM(B3:B33)</f>
        <v>419.11</v>
      </c>
      <c r="C34" s="53">
        <f>SUM(C3:C33)</f>
        <v>2554</v>
      </c>
      <c r="D34" s="92">
        <f>(SUM(D3:D33)/D39)*C39</f>
        <v>78</v>
      </c>
      <c r="E34" s="71"/>
      <c r="F34" s="52">
        <f>SUM(F3:F33)</f>
        <v>387.69</v>
      </c>
      <c r="G34" s="53">
        <f>SUM(G3:G33)</f>
        <v>2078</v>
      </c>
      <c r="H34" s="92">
        <f>(SUM(H3:H33)/D39)*C39</f>
        <v>18</v>
      </c>
      <c r="I34" s="71"/>
      <c r="J34" s="52">
        <f>SUM(J3:J33)</f>
        <v>288.46999999999997</v>
      </c>
      <c r="K34" s="53">
        <f>SUM(K3:K33)</f>
        <v>1627</v>
      </c>
      <c r="L34" s="92">
        <f>(SUM(L3:L33)/D39)*C39</f>
        <v>12</v>
      </c>
      <c r="M34" s="90"/>
      <c r="N34" s="52">
        <f>SUM(N3:N33)</f>
        <v>512.32000000000016</v>
      </c>
      <c r="O34" s="53">
        <f>SUM(O3:O33)</f>
        <v>6601</v>
      </c>
      <c r="P34" s="92">
        <f>(SUM(P3:P33)/D39)*C39</f>
        <v>18</v>
      </c>
      <c r="Q34" s="71"/>
      <c r="R34" s="52">
        <f>SUM(R3:R33)</f>
        <v>648.05999999999995</v>
      </c>
      <c r="S34" s="53">
        <f>SUM(S3:S33)</f>
        <v>5735</v>
      </c>
      <c r="T34" s="92">
        <f>(SUM(T3:T33)/D39)*C39</f>
        <v>6</v>
      </c>
      <c r="U34" s="71"/>
      <c r="V34" s="52">
        <f>SUM(V3:V33)</f>
        <v>517.6099999999999</v>
      </c>
      <c r="W34" s="53">
        <f>SUM(W3:W33)</f>
        <v>6254</v>
      </c>
      <c r="X34" s="92">
        <f>(SUM(X3:X33)/D39)*C39</f>
        <v>6.4000000000000012</v>
      </c>
      <c r="Y34" s="71"/>
      <c r="Z34" s="52">
        <f>SUM(Z3:Z33)</f>
        <v>579.33000000000004</v>
      </c>
      <c r="AA34" s="53">
        <f>SUM(AA3:AA33)</f>
        <v>4124</v>
      </c>
      <c r="AB34" s="92">
        <f>(SUM(AB3:AB33)/D39)*C39</f>
        <v>0</v>
      </c>
      <c r="AC34" s="71"/>
      <c r="AD34" s="52">
        <f>SUM(AD3:AD33)</f>
        <v>470.34999999999991</v>
      </c>
      <c r="AE34" s="53">
        <f>SUM(AE3:AE33)</f>
        <v>4373</v>
      </c>
      <c r="AF34" s="92">
        <f>(SUM(AF3:AF33)/D39)*C39</f>
        <v>6</v>
      </c>
      <c r="AG34" s="71"/>
      <c r="AH34" s="59">
        <f>SUM(AH3:AH33)</f>
        <v>486.62999999999994</v>
      </c>
      <c r="AI34" s="53">
        <f>SUM(AI3:AI33)</f>
        <v>3263</v>
      </c>
      <c r="AJ34" s="92">
        <f>(SUM(AJ3:AJ33)/D39)*C39</f>
        <v>56</v>
      </c>
      <c r="AK34" s="71"/>
      <c r="AL34" s="52">
        <f>SUM(AL3:AL33)</f>
        <v>527.71999999999991</v>
      </c>
      <c r="AM34" s="53">
        <f>SUM(AM3:AM33)</f>
        <v>3597</v>
      </c>
      <c r="AN34" s="92">
        <f>(SUM(AN3:AN33)/D39)*C39</f>
        <v>8</v>
      </c>
      <c r="AO34" s="71"/>
      <c r="AP34" s="52">
        <f>SUM(AP3:AP33)</f>
        <v>519.61</v>
      </c>
      <c r="AQ34" s="53">
        <f>SUM(AQ3:AQ33)</f>
        <v>2324</v>
      </c>
      <c r="AR34" s="92">
        <f>(SUM(AR3:AR33)/D39)*C39</f>
        <v>10</v>
      </c>
      <c r="AS34" s="71"/>
      <c r="AT34" s="52">
        <f>SUM(AT3:AT33)</f>
        <v>421.25000000000006</v>
      </c>
      <c r="AU34" s="53">
        <f>SUM(AU3:AU33)</f>
        <v>2131</v>
      </c>
      <c r="AV34" s="92">
        <f>(SUM(AV3:AV33)/D39)*C39</f>
        <v>18</v>
      </c>
      <c r="AW34" s="73"/>
    </row>
    <row r="35" spans="1:49" s="57" customFormat="1" ht="11.25" x14ac:dyDescent="0.2">
      <c r="A35" s="51" t="s">
        <v>96</v>
      </c>
      <c r="B35" s="55">
        <f>B34</f>
        <v>419.11</v>
      </c>
      <c r="C35" s="56">
        <f>C34</f>
        <v>2554</v>
      </c>
      <c r="D35" s="93">
        <f>D34</f>
        <v>78</v>
      </c>
      <c r="E35" s="72"/>
      <c r="F35" s="55">
        <f>F34+B35</f>
        <v>806.8</v>
      </c>
      <c r="G35" s="56">
        <f>G34+C35</f>
        <v>4632</v>
      </c>
      <c r="H35" s="93">
        <f>H34+D35</f>
        <v>96</v>
      </c>
      <c r="I35" s="72"/>
      <c r="J35" s="55">
        <f>J34+F35</f>
        <v>1095.27</v>
      </c>
      <c r="K35" s="56">
        <f>K34+G35</f>
        <v>6259</v>
      </c>
      <c r="L35" s="93">
        <f>L34+H35</f>
        <v>108</v>
      </c>
      <c r="M35" s="72"/>
      <c r="N35" s="55">
        <f>N34+J35</f>
        <v>1607.5900000000001</v>
      </c>
      <c r="O35" s="56">
        <f>O34+K35</f>
        <v>12860</v>
      </c>
      <c r="P35" s="93">
        <f>P34+L35</f>
        <v>126</v>
      </c>
      <c r="Q35" s="72"/>
      <c r="R35" s="55">
        <f>R34+N35</f>
        <v>2255.65</v>
      </c>
      <c r="S35" s="56">
        <f>S34+O35</f>
        <v>18595</v>
      </c>
      <c r="T35" s="93">
        <f>T34+P35</f>
        <v>132</v>
      </c>
      <c r="U35" s="72"/>
      <c r="V35" s="55">
        <f>V34+R35</f>
        <v>2773.26</v>
      </c>
      <c r="W35" s="56">
        <f>W34+S35</f>
        <v>24849</v>
      </c>
      <c r="X35" s="93">
        <f>X34+T35</f>
        <v>138.4</v>
      </c>
      <c r="Y35" s="72"/>
      <c r="Z35" s="55">
        <f>Z34+V35</f>
        <v>3352.59</v>
      </c>
      <c r="AA35" s="56">
        <f>AA34+W35</f>
        <v>28973</v>
      </c>
      <c r="AB35" s="93">
        <f>AB34+X35</f>
        <v>138.4</v>
      </c>
      <c r="AC35" s="72"/>
      <c r="AD35" s="55">
        <f>AD34+Z35</f>
        <v>3822.94</v>
      </c>
      <c r="AE35" s="56">
        <f>AE34+AA35</f>
        <v>33346</v>
      </c>
      <c r="AF35" s="93">
        <f>AF34+AB35</f>
        <v>144.4</v>
      </c>
      <c r="AG35" s="72"/>
      <c r="AH35" s="100">
        <f>AH34+AD35</f>
        <v>4309.57</v>
      </c>
      <c r="AI35" s="56">
        <f>AI34+AE35</f>
        <v>36609</v>
      </c>
      <c r="AJ35" s="93">
        <f>AJ34+AF35</f>
        <v>200.4</v>
      </c>
      <c r="AK35" s="72"/>
      <c r="AL35" s="55">
        <f>AL34+AH35</f>
        <v>4837.29</v>
      </c>
      <c r="AM35" s="56">
        <f>AM34+AI35</f>
        <v>40206</v>
      </c>
      <c r="AN35" s="93">
        <f>AN34+AJ35</f>
        <v>208.4</v>
      </c>
      <c r="AO35" s="72"/>
      <c r="AP35" s="55">
        <f>AP34+AL35</f>
        <v>5356.9</v>
      </c>
      <c r="AQ35" s="56">
        <f>AQ34+AM35</f>
        <v>42530</v>
      </c>
      <c r="AR35" s="93">
        <f>AR34+AN35</f>
        <v>218.4</v>
      </c>
      <c r="AS35" s="72"/>
      <c r="AT35" s="55">
        <f>AT34+AP35</f>
        <v>5778.15</v>
      </c>
      <c r="AU35" s="56">
        <f>AU34+AQ35</f>
        <v>44661</v>
      </c>
      <c r="AV35" s="93">
        <f>AV34+AR35</f>
        <v>236.4</v>
      </c>
      <c r="AW35" s="106"/>
    </row>
    <row r="36" spans="1:49" s="54" customFormat="1" ht="11.25" x14ac:dyDescent="0.2">
      <c r="A36" s="54" t="s">
        <v>152</v>
      </c>
      <c r="B36" s="52">
        <f>MAX(B3:B33)</f>
        <v>66.66</v>
      </c>
      <c r="C36" s="60">
        <f>MAX(C3:C33)</f>
        <v>387</v>
      </c>
      <c r="D36" s="188">
        <f>MAX(D3:D33)</f>
        <v>4.8611111111111112E-2</v>
      </c>
      <c r="E36" s="73"/>
      <c r="F36" s="52">
        <f>MAX(F3:F33)</f>
        <v>51.78</v>
      </c>
      <c r="G36" s="60">
        <f>MAX(G3:G33)</f>
        <v>472</v>
      </c>
      <c r="H36" s="188">
        <f>MAX(H3:H33)</f>
        <v>1.0416666666666666E-2</v>
      </c>
      <c r="I36" s="73"/>
      <c r="J36" s="52">
        <f>MAX(J3:J33)</f>
        <v>58.73</v>
      </c>
      <c r="K36" s="60">
        <f>MAX(K3:K33)</f>
        <v>431</v>
      </c>
      <c r="L36" s="188">
        <f>MAX(L3:L33)</f>
        <v>2.0833333333333332E-2</v>
      </c>
      <c r="M36" s="73"/>
      <c r="N36" s="52">
        <f>MAX(N3:N33)</f>
        <v>82</v>
      </c>
      <c r="O36" s="60">
        <f>MAX(O3:O33)</f>
        <v>2147</v>
      </c>
      <c r="P36" s="188">
        <f>MAX(P3:P33)</f>
        <v>2.0833333333333332E-2</v>
      </c>
      <c r="Q36" s="73"/>
      <c r="R36" s="52">
        <f>MAX(R3:R33)</f>
        <v>84.490000000000009</v>
      </c>
      <c r="S36" s="60">
        <f>MAX(S3:S33)</f>
        <v>785</v>
      </c>
      <c r="T36" s="188">
        <f>MAX(T3:T33)</f>
        <v>1.0416666666666666E-2</v>
      </c>
      <c r="U36" s="73"/>
      <c r="V36" s="52">
        <f>MAX(V3:V33)</f>
        <v>57.2</v>
      </c>
      <c r="W36" s="60">
        <f>MAX(W3:W33)</f>
        <v>1500</v>
      </c>
      <c r="X36" s="188">
        <f>MAX(X3:X33)</f>
        <v>1.1111111111111112E-2</v>
      </c>
      <c r="Y36" s="73"/>
      <c r="Z36" s="52">
        <f>MAX(Z3:Z33)</f>
        <v>90.83</v>
      </c>
      <c r="AA36" s="60">
        <f>MAX(AA3:AA33)</f>
        <v>951</v>
      </c>
      <c r="AB36" s="188">
        <f>MAX(AB3:AB33)</f>
        <v>0</v>
      </c>
      <c r="AC36" s="73"/>
      <c r="AD36" s="52">
        <f>MAX(AD3:AD33)</f>
        <v>59.109999999999992</v>
      </c>
      <c r="AE36" s="60">
        <f>MAX(AE3:AE33)</f>
        <v>980</v>
      </c>
      <c r="AF36" s="188">
        <f>MAX(AF3:AF33)</f>
        <v>1.0416666666666666E-2</v>
      </c>
      <c r="AG36" s="73"/>
      <c r="AH36" s="52">
        <f>MAX(AH3:AH33)</f>
        <v>57.620000000000005</v>
      </c>
      <c r="AI36" s="60">
        <f>MAX(AI3:AI33)</f>
        <v>842</v>
      </c>
      <c r="AJ36" s="188">
        <f>MAX(AJ3:AJ33)</f>
        <v>6.25E-2</v>
      </c>
      <c r="AK36" s="73"/>
      <c r="AL36" s="52">
        <f>MAX(AL3:AL33)</f>
        <v>52.8</v>
      </c>
      <c r="AM36" s="60">
        <f>MAX(AM3:AM33)</f>
        <v>436</v>
      </c>
      <c r="AN36" s="188">
        <f>MAX(AN3:AN33)</f>
        <v>1.3888888888888888E-2</v>
      </c>
      <c r="AO36" s="73"/>
      <c r="AP36" s="52">
        <f>MAX(AP3:AP33)</f>
        <v>66.66</v>
      </c>
      <c r="AQ36" s="60">
        <f>MAX(AQ3:AQ33)</f>
        <v>584</v>
      </c>
      <c r="AR36" s="188">
        <f>MAX(AR3:AR33)</f>
        <v>1.7361111111111112E-2</v>
      </c>
      <c r="AS36" s="73"/>
      <c r="AT36" s="52">
        <f>MAX(AT3:AT33)</f>
        <v>37.96</v>
      </c>
      <c r="AU36" s="60">
        <f>MAX(AU3:AU33)</f>
        <v>380</v>
      </c>
      <c r="AV36" s="188">
        <f>MAX(AV3:AV33)</f>
        <v>2.0833333333333332E-2</v>
      </c>
      <c r="AW36" s="73"/>
    </row>
    <row r="37" spans="1:49" s="54" customFormat="1" ht="11.25" x14ac:dyDescent="0.2">
      <c r="A37" s="54" t="s">
        <v>348</v>
      </c>
      <c r="B37" s="59">
        <f>IFERROR(AVERAGE(B3:B33),0)</f>
        <v>14.452068965517242</v>
      </c>
      <c r="C37" s="60">
        <f>IFERROR(AVERAGE(C3:C33),0)</f>
        <v>88.068965517241381</v>
      </c>
      <c r="D37" s="188">
        <f>IFERROR(AVERAGE(D3:D33),0)</f>
        <v>3.3854166666666664E-2</v>
      </c>
      <c r="E37" s="73"/>
      <c r="F37" s="59">
        <f>IFERROR(AVERAGE(F3:F33),0)</f>
        <v>14.358888888888888</v>
      </c>
      <c r="G37" s="60">
        <f>IFERROR(AVERAGE(G3:G33),0)</f>
        <v>76.962962962962962</v>
      </c>
      <c r="H37" s="188">
        <f>IFERROR(AVERAGE(H3:H33),0)</f>
        <v>1.0416666666666666E-2</v>
      </c>
      <c r="I37" s="73"/>
      <c r="J37" s="59">
        <f>IFERROR(AVERAGE(J3:J33),0)</f>
        <v>13.112272727272726</v>
      </c>
      <c r="K37" s="60">
        <f>IFERROR(AVERAGE(K3:K33),0)</f>
        <v>73.954545454545453</v>
      </c>
      <c r="L37" s="188">
        <f>IFERROR(AVERAGE(L3:L33),0)</f>
        <v>2.0833333333333332E-2</v>
      </c>
      <c r="M37" s="73"/>
      <c r="N37" s="59">
        <f>IFERROR(AVERAGE(N3:N33),0)</f>
        <v>18.297142857142862</v>
      </c>
      <c r="O37" s="60">
        <f>IFERROR(AVERAGE(O3:O33),0)</f>
        <v>235.75</v>
      </c>
      <c r="P37" s="188">
        <f>IFERROR(AVERAGE(P3:P33),0)</f>
        <v>1.5625E-2</v>
      </c>
      <c r="Q37" s="73"/>
      <c r="R37" s="59">
        <f>IFERROR(AVERAGE(R3:R33),0)</f>
        <v>22.346896551724136</v>
      </c>
      <c r="S37" s="60">
        <f>IFERROR(AVERAGE(S3:S33),0)</f>
        <v>197.75862068965517</v>
      </c>
      <c r="T37" s="188">
        <f>IFERROR(AVERAGE(T3:T33),0)</f>
        <v>1.0416666666666666E-2</v>
      </c>
      <c r="U37" s="73"/>
      <c r="V37" s="59">
        <f>IFERROR(AVERAGE(V3:V33),0)</f>
        <v>23.527727272727269</v>
      </c>
      <c r="W37" s="60">
        <f>IFERROR(AVERAGE(W3:W33),0)</f>
        <v>284.27272727272725</v>
      </c>
      <c r="X37" s="188">
        <f>IFERROR(AVERAGE(X3:X33),0)</f>
        <v>1.1111111111111112E-2</v>
      </c>
      <c r="Y37" s="73"/>
      <c r="Z37" s="59">
        <f>IFERROR(AVERAGE(Z3:Z33),0)</f>
        <v>19.311</v>
      </c>
      <c r="AA37" s="60">
        <f>IFERROR(AVERAGE(AA3:AA33),0)</f>
        <v>137.46666666666667</v>
      </c>
      <c r="AB37" s="188">
        <f>IFERROR(AVERAGE(AB3:AB33),0)</f>
        <v>0</v>
      </c>
      <c r="AC37" s="73"/>
      <c r="AD37" s="59">
        <f>IFERROR(AVERAGE(AD3:AD33),0)</f>
        <v>15.678333333333331</v>
      </c>
      <c r="AE37" s="60">
        <f>IFERROR(AVERAGE(AE3:AE33),0)</f>
        <v>145.76666666666668</v>
      </c>
      <c r="AF37" s="188">
        <f>IFERROR(AVERAGE(AF3:AF33),0)</f>
        <v>1.0416666666666666E-2</v>
      </c>
      <c r="AG37" s="73"/>
      <c r="AH37" s="59">
        <f>IFERROR(AVERAGE(AH3:AH33),0)</f>
        <v>17.379642857142855</v>
      </c>
      <c r="AI37" s="60">
        <f>IFERROR(AVERAGE(AI3:AI33),0)</f>
        <v>116.53571428571429</v>
      </c>
      <c r="AJ37" s="188">
        <f>IFERROR(AVERAGE(AJ3:AJ33),0)</f>
        <v>4.8611111111111112E-2</v>
      </c>
      <c r="AK37" s="73"/>
      <c r="AL37" s="59">
        <f>IFERROR(AVERAGE(AL3:AL33),0)</f>
        <v>18.197241379310341</v>
      </c>
      <c r="AM37" s="60">
        <f>IFERROR(AVERAGE(AM3:AM33),0)</f>
        <v>124.03448275862068</v>
      </c>
      <c r="AN37" s="188">
        <f>IFERROR(AVERAGE(AN3:AN33),0)</f>
        <v>1.3888888888888888E-2</v>
      </c>
      <c r="AO37" s="73"/>
      <c r="AP37" s="59">
        <f>IFERROR(AVERAGE(AP3:AP33),0)</f>
        <v>18.557500000000001</v>
      </c>
      <c r="AQ37" s="60">
        <f>IFERROR(AVERAGE(AQ3:AQ33),0)</f>
        <v>83</v>
      </c>
      <c r="AR37" s="188">
        <f>IFERROR(AVERAGE(AR3:AR33),0)</f>
        <v>1.7361111111111112E-2</v>
      </c>
      <c r="AS37" s="73"/>
      <c r="AT37" s="59">
        <f>IFERROR(AVERAGE(AT3:AT33),0)</f>
        <v>14.041666666666668</v>
      </c>
      <c r="AU37" s="60">
        <f>IFERROR(AVERAGE(AU3:AU33),0)</f>
        <v>71.033333333333331</v>
      </c>
      <c r="AV37" s="188">
        <f>IFERROR(AVERAGE(AV3:AV33),0)</f>
        <v>1.5625E-2</v>
      </c>
      <c r="AW37" s="73"/>
    </row>
    <row r="38" spans="1:49" s="54" customFormat="1" ht="11.25" x14ac:dyDescent="0.2">
      <c r="A38" s="54" t="s">
        <v>241</v>
      </c>
      <c r="B38" s="59">
        <f>B34-'17'!B34</f>
        <v>174.83</v>
      </c>
      <c r="C38" s="91">
        <f>C34-'17'!C34</f>
        <v>878</v>
      </c>
      <c r="D38" s="119">
        <f>IF(B34+D34=0,0,D34/(B34+D34))</f>
        <v>0.15690692200921325</v>
      </c>
      <c r="E38" s="73"/>
      <c r="F38" s="59">
        <f>F34-'17'!F34</f>
        <v>-151.68</v>
      </c>
      <c r="G38" s="91">
        <f>G34-'17'!G34</f>
        <v>-1715</v>
      </c>
      <c r="H38" s="119">
        <f>IF(F34+H34=0,0,H34/(F34+H34))</f>
        <v>4.4368853065148268E-2</v>
      </c>
      <c r="I38" s="73"/>
      <c r="J38" s="59">
        <f>J34-'17'!J34</f>
        <v>-322.15000000000003</v>
      </c>
      <c r="K38" s="91">
        <f>K34-'17'!K34</f>
        <v>-3441</v>
      </c>
      <c r="L38" s="119">
        <f>IF(J34+L34=0,0,L34/(J34+L34))</f>
        <v>3.9937431357539861E-2</v>
      </c>
      <c r="M38" s="73"/>
      <c r="N38" s="59">
        <f>N34-'17'!N34</f>
        <v>-15.139999999999759</v>
      </c>
      <c r="O38" s="91">
        <f>O34-'17'!O34</f>
        <v>2305</v>
      </c>
      <c r="P38" s="119">
        <f>IF(N34+P34=0,0,P34/(N34+P34))</f>
        <v>3.3941771006184937E-2</v>
      </c>
      <c r="Q38" s="73"/>
      <c r="R38" s="59">
        <f>R34-'17'!R34</f>
        <v>-68.600000000000023</v>
      </c>
      <c r="S38" s="91">
        <f>S34-'17'!S34</f>
        <v>-627</v>
      </c>
      <c r="T38" s="119">
        <f>IF(R34+T34=0,0,T34/(R34+T34))</f>
        <v>9.173470323823504E-3</v>
      </c>
      <c r="U38" s="73"/>
      <c r="V38" s="59">
        <f>V34-'17'!V34</f>
        <v>-141.5</v>
      </c>
      <c r="W38" s="91">
        <f>W34-'17'!W34</f>
        <v>-3878</v>
      </c>
      <c r="X38" s="119">
        <f>IF(V34+X34=0,0,X34/(V34+X34))</f>
        <v>1.2213507375813443E-2</v>
      </c>
      <c r="Y38" s="73"/>
      <c r="Z38" s="59">
        <f>Z34-'17'!Z34</f>
        <v>-106.08999999999992</v>
      </c>
      <c r="AA38" s="91">
        <f>AA34-'17'!AA34</f>
        <v>-517</v>
      </c>
      <c r="AB38" s="119">
        <f>IF(Z34+AB34=0,0,AB34/(Z34+AB34))</f>
        <v>0</v>
      </c>
      <c r="AC38" s="73"/>
      <c r="AD38" s="59">
        <f>AD34-'17'!AD34</f>
        <v>-210.05000000000007</v>
      </c>
      <c r="AE38" s="91">
        <f>AE34-'17'!AE34</f>
        <v>-1252</v>
      </c>
      <c r="AF38" s="119">
        <f>IF(AD34+AF34=0,0,AF34/(AD34+AF34))</f>
        <v>1.2595780413561459E-2</v>
      </c>
      <c r="AG38" s="73"/>
      <c r="AH38" s="59">
        <f>AH34-'17'!AH34</f>
        <v>-79.79000000000002</v>
      </c>
      <c r="AI38" s="91">
        <f>AI34-'17'!AI34</f>
        <v>-780</v>
      </c>
      <c r="AJ38" s="119">
        <f>IF(AH34+AJ34=0,0,AJ34/(AH34+AJ34))</f>
        <v>0.10320107623979509</v>
      </c>
      <c r="AK38" s="73"/>
      <c r="AL38" s="59">
        <f>AL34-'17'!AL34</f>
        <v>-140.20000000000027</v>
      </c>
      <c r="AM38" s="91">
        <f>AM34-'17'!AM34</f>
        <v>1049</v>
      </c>
      <c r="AN38" s="119">
        <f>IF(AL34+AN34=0,0,AN34/(AL34+AN34))</f>
        <v>1.493317404614351E-2</v>
      </c>
      <c r="AO38" s="73"/>
      <c r="AP38" s="59">
        <f>AP34-'17'!AP34</f>
        <v>59.1099999999999</v>
      </c>
      <c r="AQ38" s="91">
        <f>AQ34-'17'!AQ34</f>
        <v>174</v>
      </c>
      <c r="AR38" s="119">
        <f>IF(AP34+AR34=0,0,AR34/(AP34+AR34))</f>
        <v>1.8881818696776874E-2</v>
      </c>
      <c r="AS38" s="73"/>
      <c r="AT38" s="59">
        <f>AT34-'17'!AT34</f>
        <v>43.49000000000018</v>
      </c>
      <c r="AU38" s="91">
        <f>AU34-'17'!AU34</f>
        <v>-84</v>
      </c>
      <c r="AV38" s="119">
        <f>IF(AT34+AV34=0,0,AV34/(AT34+AV34))</f>
        <v>4.0978941377347748E-2</v>
      </c>
      <c r="AW38" s="73"/>
    </row>
    <row r="39" spans="1:49" s="1" customFormat="1" x14ac:dyDescent="0.2">
      <c r="A39" s="51" t="s">
        <v>158</v>
      </c>
      <c r="B39" s="177" t="s">
        <v>242</v>
      </c>
      <c r="C39" s="178">
        <v>24</v>
      </c>
      <c r="D39" s="189">
        <v>4.1666666666666664E-2</v>
      </c>
      <c r="E39" s="205"/>
      <c r="G39" s="324"/>
      <c r="H39" s="206"/>
      <c r="I39" s="205"/>
      <c r="J39" s="55">
        <f>SUM(B34,F34,J34)</f>
        <v>1095.27</v>
      </c>
      <c r="K39" s="56">
        <f t="shared" ref="K39:L39" si="12">SUM(C34,G34,K34)</f>
        <v>6259</v>
      </c>
      <c r="L39" s="207">
        <f t="shared" si="12"/>
        <v>108</v>
      </c>
      <c r="M39" s="205"/>
      <c r="P39" s="206"/>
      <c r="Q39" s="205"/>
      <c r="T39" s="206"/>
      <c r="U39" s="205"/>
      <c r="V39" s="55">
        <f>SUM(N34,R34,V34)</f>
        <v>1677.99</v>
      </c>
      <c r="W39" s="56">
        <f>SUM(O34,S34,W34)</f>
        <v>18590</v>
      </c>
      <c r="X39" s="207">
        <f>SUM(P34,T34,X34)</f>
        <v>30.400000000000002</v>
      </c>
      <c r="Y39" s="205"/>
      <c r="AB39" s="206"/>
      <c r="AC39" s="205"/>
      <c r="AF39" s="206"/>
      <c r="AG39" s="205"/>
      <c r="AH39" s="100">
        <f>SUM(Z34,AD34,AH34)</f>
        <v>1536.3099999999997</v>
      </c>
      <c r="AI39" s="56">
        <f>SUM(AA34,AE34,AI34)</f>
        <v>11760</v>
      </c>
      <c r="AJ39" s="207">
        <f>SUM(AB34,AF34,AJ34)</f>
        <v>62</v>
      </c>
      <c r="AK39" s="205"/>
      <c r="AN39" s="206"/>
      <c r="AO39" s="205"/>
      <c r="AR39" s="206"/>
      <c r="AS39" s="205"/>
      <c r="AT39" s="55">
        <f>SUM(AL34,AP34,AT34)</f>
        <v>1468.58</v>
      </c>
      <c r="AU39" s="56">
        <f>SUM(AM34,AQ34,AU34)</f>
        <v>8052</v>
      </c>
      <c r="AV39" s="207">
        <f>SUM(AN34,AR34,AV34)</f>
        <v>36</v>
      </c>
      <c r="AW39" s="205"/>
    </row>
    <row r="40" spans="1:49" s="54" customFormat="1" ht="11.25" x14ac:dyDescent="0.2">
      <c r="A40" s="54" t="s">
        <v>347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13.974410193892952</v>
      </c>
      <c r="K40" s="60">
        <f>IFERROR(AVERAGE(C37,G37,K37),0)</f>
        <v>79.662157978249923</v>
      </c>
      <c r="L40" s="188">
        <f>IFERROR(AVERAGE(D37,H37,L37),0)</f>
        <v>2.1701388888888885E-2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21.390588893864759</v>
      </c>
      <c r="W40" s="60">
        <f>IFERROR(AVERAGE(O37,S37,W37),0)</f>
        <v>239.26044932079412</v>
      </c>
      <c r="X40" s="188">
        <f>IFERROR(AVERAGE(P37,T37,X37),0)</f>
        <v>1.238425925925926E-2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17.456325396825395</v>
      </c>
      <c r="AI40" s="60">
        <f>IFERROR(AVERAGE(AA37,AE37,AI37),0)</f>
        <v>133.2563492063492</v>
      </c>
      <c r="AJ40" s="188">
        <f>IFERROR(AVERAGE(AB37,AF37,AJ37),0)</f>
        <v>1.9675925925925927E-2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16.932136015325671</v>
      </c>
      <c r="AU40" s="60">
        <f>IFERROR(AVERAGE(AM37,AQ37,AU37),0)</f>
        <v>92.689272030651338</v>
      </c>
      <c r="AV40" s="188">
        <f>IFERROR(AVERAGE(AN37,AR37,AV37),0)</f>
        <v>1.5625E-2</v>
      </c>
      <c r="AW40" s="73"/>
    </row>
    <row r="41" spans="1:49" s="118" customFormat="1" ht="11.25" x14ac:dyDescent="0.2">
      <c r="A41" s="115" t="s">
        <v>225</v>
      </c>
      <c r="B41" s="109">
        <f>RANK(B34,(B34,F34,J34,N34,R34,V34,Z34,AD34,AH34,AL34,AP34,AT34))</f>
        <v>10</v>
      </c>
      <c r="C41" s="110">
        <f>RANK(C34,(C34,G34,K34,O34,S34,W34,AA34,AE34,AI34,AM34,AQ34,AU34))</f>
        <v>8</v>
      </c>
      <c r="D41" s="116">
        <f>RANK(D34,(D34,H34,L34,P34,T34,X34,AB34,AF34,AJ34,AN34,AR34,AV34))</f>
        <v>1</v>
      </c>
      <c r="E41" s="117"/>
      <c r="F41" s="109">
        <f>RANK(F34,(B34,F34,J34,N34,R34,V34,Z34,AD34,AH34,AL34,AP34,AT34))</f>
        <v>11</v>
      </c>
      <c r="G41" s="110">
        <f>RANK(G34,(C34,G34,K34,O34,S34,W34,AA34,AE34,AI34,AM34,AQ34,AU34))</f>
        <v>11</v>
      </c>
      <c r="H41" s="116">
        <f>RANK(H34,(D34,H34,L34,P34,T34,X34,AB34,AF34,AJ34,AN34,AR34,AV34))</f>
        <v>3</v>
      </c>
      <c r="I41" s="117"/>
      <c r="J41" s="109">
        <f>RANK(J34,(B34,F34,J34,N34,R34,V34,Z34,AD34,AH34,AL34,AP34,AT34))</f>
        <v>12</v>
      </c>
      <c r="K41" s="110">
        <f>RANK(K34,(C34,G34,K34,O34,S34,W34,AA34,AE34,AI34,AM34,AQ34,AU34))</f>
        <v>12</v>
      </c>
      <c r="L41" s="116">
        <f>RANK(L34,(D34,H34,L34,P34,T34,X34,AB34,AF34,AJ34,AN34,AR34,AV34))</f>
        <v>6</v>
      </c>
      <c r="M41" s="117"/>
      <c r="N41" s="109">
        <f>RANK(N34,(B34,F34,J34,N34,R34,V34,Z34,AD34,AH34,AL34,AP34,AT34))</f>
        <v>6</v>
      </c>
      <c r="O41" s="110">
        <f>RANK(O34,(C34,G34,K34,O34,S34,W34,AA34,AE34,AI34,AM34,AQ34,AU34))</f>
        <v>1</v>
      </c>
      <c r="P41" s="116">
        <f>RANK(P34,(D34,H34,L34,P34,T34,X34,AB34,AF34,AJ34,AN34,AR34,AV34))</f>
        <v>3</v>
      </c>
      <c r="Q41" s="117"/>
      <c r="R41" s="109">
        <f>RANK(R34,(B34,F34,J34,N34,R34,V34,Z34,AD34,AH34,AL34,AP34,AT34))</f>
        <v>1</v>
      </c>
      <c r="S41" s="110">
        <f>RANK(S34,(C34,G34,K34,O34,S34,W34,AA34,AE34,AI34,AM34,AQ34,AU34))</f>
        <v>3</v>
      </c>
      <c r="T41" s="116">
        <f>RANK(T34,(D34,H34,L34,P34,T34,X34,AB34,AF34,AJ34,AN34,AR34,AV34))</f>
        <v>10</v>
      </c>
      <c r="U41" s="117"/>
      <c r="V41" s="109">
        <f>RANK(V34,(B34,F34,J34,N34,R34,V34,Z34,AD34,AH34,AL34,AP34,AT34))</f>
        <v>5</v>
      </c>
      <c r="W41" s="110">
        <f>RANK(W34,(C34,G34,K34,O34,S34,W34,AA34,AE34,AI34,AM34,AQ34,AU34))</f>
        <v>2</v>
      </c>
      <c r="X41" s="116">
        <f>RANK(X34,(D34,H34,L34,P34,T34,X34,AB34,AF34,AJ34,AN34,AR34,AV34))</f>
        <v>9</v>
      </c>
      <c r="Y41" s="117"/>
      <c r="Z41" s="109">
        <f>RANK(Z34,(B34,F34,J34,N34,R34,V34,Z34,AD34,AH34,AL34,AP34,AT34))</f>
        <v>2</v>
      </c>
      <c r="AA41" s="110">
        <f>RANK(AA34,(C34,G34,K34,O34,S34,W34,AA34,AE34,AI34,AM34,AQ34,AU34))</f>
        <v>5</v>
      </c>
      <c r="AB41" s="116">
        <f>RANK(AB34,(D34,H34,L34,P34,T34,X34,AB34,AF34,AJ34,AN34,AR34,AV34))</f>
        <v>12</v>
      </c>
      <c r="AC41" s="117"/>
      <c r="AD41" s="109">
        <f>RANK(AD34,(B34,F34,J34,N34,R34,V34,Z34,AD34,AH34,AL34,AP34,AT34))</f>
        <v>8</v>
      </c>
      <c r="AE41" s="110">
        <f>RANK(AE34,(C34,G34,K34,O34,S34,W34,AA34,AE34,AI34,AM34,AQ34,AU34))</f>
        <v>4</v>
      </c>
      <c r="AF41" s="116">
        <f>RANK(AF34,(D34,H34,L34,P34,T34,X34,AB34,AF34,AJ34,AN34,AR34,AV34))</f>
        <v>10</v>
      </c>
      <c r="AG41" s="117"/>
      <c r="AH41" s="109">
        <f>RANK(AH34,(B34,F34,J34,N34,R34,V34,Z34,AD34,AH34,AL34,AP34,AT34))</f>
        <v>7</v>
      </c>
      <c r="AI41" s="110">
        <f>RANK(AI34,(C34,G34,K34,O34,S34,W34,AA34,AE34,AI34,AM34,AQ34,AU34))</f>
        <v>7</v>
      </c>
      <c r="AJ41" s="116">
        <f>RANK(AJ34,(D34,H34,L34,P34,T34,X34,AB34,AF34,AJ34,AN34,AR34,AV34))</f>
        <v>2</v>
      </c>
      <c r="AK41" s="117"/>
      <c r="AL41" s="109">
        <f>RANK(AL34,(B34,F34,J34,N34,R34,V34,Z34,AD34,AH34,AL34,AP34,AT34))</f>
        <v>3</v>
      </c>
      <c r="AM41" s="110">
        <f>RANK(AM34,(C34,G34,K34,O34,S34,W34,AA34,AE34,AI34,AM34,AQ34,AU34))</f>
        <v>6</v>
      </c>
      <c r="AN41" s="116">
        <f>RANK(AN34,(D34,H34,L34,P34,T34,X34,AB34,AF34,AJ34,AN34,AR34,AV34))</f>
        <v>8</v>
      </c>
      <c r="AO41" s="117"/>
      <c r="AP41" s="109">
        <f>RANK(AP34,(B34,F34,J34,N34,R34,V34,Z34,AD34,AH34,AL34,AP34,AT34))</f>
        <v>4</v>
      </c>
      <c r="AQ41" s="110">
        <f>RANK(AQ34,(C34,G34,K34,O34,S34,W34,AA34,AE34,AI34,AM34,AQ34,AU34))</f>
        <v>9</v>
      </c>
      <c r="AR41" s="116">
        <f>RANK(AR34,(D34,H34,L34,P34,T34,X34,AB34,AF34,AJ34,AN34,AR34,AV34))</f>
        <v>7</v>
      </c>
      <c r="AS41" s="117"/>
      <c r="AT41" s="109">
        <f>RANK(AT34,(B34,F34,J34,N34,R34,V34,Z34,AD34,AH34,AL34,AP34,AT34))</f>
        <v>9</v>
      </c>
      <c r="AU41" s="110">
        <f>RANK(AU34,(C34,G34,K34,O34,S34,W34,AA34,AE34,AI34,AM34,AQ34,AU34))</f>
        <v>10</v>
      </c>
      <c r="AV41" s="116">
        <f>RANK(AV34,(D34,H34,L34,P34,T34,X34,AB34,AF34,AJ34,AN34,AR34,AV34))</f>
        <v>3</v>
      </c>
      <c r="AW41" s="122"/>
    </row>
    <row r="42" spans="1:49" s="54" customFormat="1" ht="11.25" x14ac:dyDescent="0.2">
      <c r="A42" s="57" t="s">
        <v>218</v>
      </c>
      <c r="B42" s="100">
        <f>T1</f>
        <v>17.438365124977199</v>
      </c>
      <c r="C42" s="101">
        <f>AB1</f>
        <v>136.21705713401113</v>
      </c>
      <c r="D42" s="102"/>
      <c r="E42" s="214" t="s">
        <v>404</v>
      </c>
      <c r="F42" s="215">
        <f>SUM(J23:J33,N3:N33,R3:R33,V3:V33,Z3:Z33,AD3:AD33,AH3:AH23)</f>
        <v>3113.4700000000003</v>
      </c>
      <c r="G42" s="216">
        <f>SUM(K23:K33,O3:O32,S3:S33,W3:W32,AA3:AA33,AE3:AE33,AI3:AI23)</f>
        <v>29906</v>
      </c>
      <c r="H42" s="217"/>
      <c r="I42" s="217"/>
      <c r="J42" s="218">
        <f>IFERROR(F42/(F42+F43),0)</f>
        <v>0.53883509427758025</v>
      </c>
      <c r="K42" s="218">
        <f>IFERROR(G42/(G42+G43),0)</f>
        <v>0.66962226551129622</v>
      </c>
      <c r="L42" s="217"/>
      <c r="M42" s="309" t="s">
        <v>606</v>
      </c>
      <c r="N42" s="307">
        <v>40</v>
      </c>
      <c r="O42" s="91">
        <f>N42-'17'!N42</f>
        <v>-36</v>
      </c>
      <c r="Y42" s="173"/>
      <c r="AK42" s="255" t="s">
        <v>484</v>
      </c>
      <c r="AL42" s="52">
        <f>MAX(B34,F34,J34,N34,R34,V34,Z34,AD34,AH34,AL34,AP34,AT34)</f>
        <v>648.05999999999995</v>
      </c>
      <c r="AM42" s="256">
        <f>MAX(C34,G34,K34,O34,S34,W34,AA34,AE34,AI34,AM34,AQ34,AU34)</f>
        <v>6601</v>
      </c>
      <c r="AN42" s="54" t="s">
        <v>351</v>
      </c>
      <c r="AO42" s="253" t="s">
        <v>349</v>
      </c>
      <c r="AP42" s="59">
        <f>R1-'17'!R1</f>
        <v>44.189999999999969</v>
      </c>
      <c r="AQ42" s="91">
        <f>AF1-'17'!AF1</f>
        <v>-49</v>
      </c>
      <c r="AR42" s="54" t="s">
        <v>350</v>
      </c>
      <c r="AS42" s="252" t="s">
        <v>349</v>
      </c>
      <c r="AT42" s="59">
        <f>I1-'17'!I1</f>
        <v>-0.17000000000000171</v>
      </c>
      <c r="AU42" s="91">
        <f>AN1-'17'!AN1</f>
        <v>182</v>
      </c>
      <c r="AV42" s="54" t="s">
        <v>351</v>
      </c>
      <c r="AW42" s="73"/>
    </row>
    <row r="43" spans="1:49" s="54" customFormat="1" ht="11.25" x14ac:dyDescent="0.2">
      <c r="A43" s="57" t="s">
        <v>219</v>
      </c>
      <c r="B43" s="100">
        <f>E1/365</f>
        <v>15.830547945205478</v>
      </c>
      <c r="C43" s="101">
        <f>AU1/365</f>
        <v>122.35890410958905</v>
      </c>
      <c r="D43" s="102"/>
      <c r="E43" s="210" t="s">
        <v>405</v>
      </c>
      <c r="F43" s="211">
        <f>E1-F42</f>
        <v>2664.6799999999994</v>
      </c>
      <c r="G43" s="212">
        <f>AU1-G42</f>
        <v>14755</v>
      </c>
      <c r="H43" s="213"/>
      <c r="I43" s="213"/>
      <c r="J43" s="219">
        <f>IFERROR(F43/(F42+F43),0)</f>
        <v>0.46116490572241975</v>
      </c>
      <c r="K43" s="219">
        <f>IFERROR(G43/(G42+G43),0)</f>
        <v>0.33037773448870378</v>
      </c>
      <c r="L43" s="213"/>
      <c r="M43" s="71" t="s">
        <v>607</v>
      </c>
      <c r="N43" s="308">
        <v>8</v>
      </c>
      <c r="O43" s="91">
        <f>N43-'17'!N43</f>
        <v>0</v>
      </c>
      <c r="Y43" s="73"/>
      <c r="AK43" s="257" t="s">
        <v>487</v>
      </c>
      <c r="AL43" s="228">
        <f>IF($B$1&lt;&gt;0,$AV$35/$B1,0)</f>
        <v>3.9304686136119912E-2</v>
      </c>
      <c r="AO43" s="254" t="s">
        <v>349</v>
      </c>
      <c r="AP43" s="59">
        <f>AV35-'17'!AV35</f>
        <v>-251.20000000000002</v>
      </c>
      <c r="AQ43" s="228">
        <f>AL43-'17'!AL43</f>
        <v>-2.8197030478494575E-2</v>
      </c>
      <c r="AR43" s="54" t="s">
        <v>208</v>
      </c>
      <c r="AS43" s="252" t="s">
        <v>349</v>
      </c>
      <c r="AT43" s="59">
        <f>B1-'17'!B1</f>
        <v>-1208.9700000000012</v>
      </c>
      <c r="AU43" s="91">
        <f>AU1-'17'!AU1</f>
        <v>-7888</v>
      </c>
      <c r="AV43" s="54" t="s">
        <v>352</v>
      </c>
      <c r="AW43" s="73"/>
    </row>
  </sheetData>
  <sheetProtection password="CC70" sheet="1" objects="1" scenarios="1"/>
  <mergeCells count="19"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  <mergeCell ref="AU1:AV1"/>
    <mergeCell ref="AH1:AI1"/>
    <mergeCell ref="AJ1:AK1"/>
    <mergeCell ref="AL1:AM1"/>
    <mergeCell ref="AN1:AO1"/>
    <mergeCell ref="AP1:AQ1"/>
    <mergeCell ref="AR1:AS1"/>
  </mergeCells>
  <conditionalFormatting sqref="B34 F34 J34 N34 R34 V34 Z34 AD34 AH34 AL34 AP34 AT34">
    <cfRule type="cellIs" dxfId="115" priority="97" operator="equal">
      <formula>$R$1</formula>
    </cfRule>
    <cfRule type="cellIs" dxfId="114" priority="98" operator="equal">
      <formula>$M$1</formula>
    </cfRule>
  </conditionalFormatting>
  <conditionalFormatting sqref="C34 G34 K34 O34 S34 W34 AA34 AE34 AI34 AM34 AQ34 AU34">
    <cfRule type="cellIs" dxfId="113" priority="96" operator="equal">
      <formula>$AF$1</formula>
    </cfRule>
    <cfRule type="cellIs" dxfId="112" priority="99" operator="equal">
      <formula>$AJ$1</formula>
    </cfRule>
  </conditionalFormatting>
  <conditionalFormatting sqref="B38:C38 AT42:AU43 AP42:AQ42 F38:G38 J38:K38 N38:O38 R38:S38 V38:W38 Z38:AA38 AH38:AI38 AL38:AM38 AP38:AQ38 AT38:AU38 AD38:AE38">
    <cfRule type="cellIs" dxfId="111" priority="93" operator="lessThan">
      <formula>0</formula>
    </cfRule>
    <cfRule type="cellIs" dxfId="110" priority="94" operator="greaterThanOrEqual">
      <formula>0</formula>
    </cfRule>
  </conditionalFormatting>
  <conditionalFormatting sqref="C38 AU42:AU43 AQ42 G38 K38 O38 S38 W38 AA38 AE38 AI38 AM38 AQ38 AU38">
    <cfRule type="cellIs" dxfId="109" priority="91" operator="lessThan">
      <formula>0</formula>
    </cfRule>
    <cfRule type="cellIs" dxfId="108" priority="92" operator="greaterThanOrEqual">
      <formula>0</formula>
    </cfRule>
  </conditionalFormatting>
  <conditionalFormatting sqref="D38">
    <cfRule type="cellIs" dxfId="107" priority="84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106" priority="83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105" priority="82" operator="equal">
      <formula>MAX($D$34,$H$34,$L$34,$P$34,$T$34,$X$34,$AB$34,$AF$34,$AJ$34,$AN$34,$AR$34,$AV$34)</formula>
    </cfRule>
  </conditionalFormatting>
  <conditionalFormatting sqref="D36 H36 L36 P36 T36 X36 AB36 AF36 AJ36 AN36 AR36 AV36">
    <cfRule type="cellIs" dxfId="104" priority="67" operator="equal">
      <formula>MAX($D$36,$H$36,$L$36,$P$36,$T$36,$X$36,$AB$36,$AF$36,$AJ$36,$AN$36,$AR$36,$AV$36)</formula>
    </cfRule>
  </conditionalFormatting>
  <conditionalFormatting sqref="AP43">
    <cfRule type="cellIs" dxfId="103" priority="65" operator="lessThan">
      <formula>0</formula>
    </cfRule>
    <cfRule type="cellIs" dxfId="102" priority="66" operator="greaterThanOrEqual">
      <formula>0</formula>
    </cfRule>
  </conditionalFormatting>
  <conditionalFormatting sqref="AQ43">
    <cfRule type="cellIs" dxfId="101" priority="63" stopIfTrue="1" operator="lessThan">
      <formula>0</formula>
    </cfRule>
    <cfRule type="cellIs" dxfId="100" priority="64" operator="greaterThanOrEqual">
      <formula>0</formula>
    </cfRule>
  </conditionalFormatting>
  <conditionalFormatting sqref="AL42">
    <cfRule type="cellIs" dxfId="99" priority="58" stopIfTrue="1" operator="lessThan">
      <formula>1000</formula>
    </cfRule>
    <cfRule type="cellIs" dxfId="98" priority="59" stopIfTrue="1" operator="lessThan">
      <formula>1100</formula>
    </cfRule>
    <cfRule type="cellIs" dxfId="97" priority="60" stopIfTrue="1" operator="lessThan">
      <formula>9999</formula>
    </cfRule>
  </conditionalFormatting>
  <conditionalFormatting sqref="AM42">
    <cfRule type="cellIs" dxfId="96" priority="55" stopIfTrue="1" operator="lessThan">
      <formula>10000</formula>
    </cfRule>
    <cfRule type="cellIs" dxfId="95" priority="56" stopIfTrue="1" operator="lessThan">
      <formula>13000</formula>
    </cfRule>
    <cfRule type="cellIs" dxfId="94" priority="57" stopIfTrue="1" operator="lessThan">
      <formula>99999</formula>
    </cfRule>
  </conditionalFormatting>
  <conditionalFormatting sqref="AL43">
    <cfRule type="cellIs" dxfId="93" priority="52" stopIfTrue="1" operator="lessThan">
      <formula>0.05</formula>
    </cfRule>
    <cfRule type="cellIs" dxfId="92" priority="53" stopIfTrue="1" operator="lessThan">
      <formula>0.1</formula>
    </cfRule>
    <cfRule type="cellIs" dxfId="91" priority="54" stopIfTrue="1" operator="lessThanOrEqual">
      <formula>1</formula>
    </cfRule>
  </conditionalFormatting>
  <conditionalFormatting sqref="H3:H33 L3:L33 T3:T33 X3:X33 AB3:AB33 AF3:AF33 AJ3:AJ33 AN3:AN33 AR3:AR33 AV3:AV33 D3:D33 P3:P33">
    <cfRule type="cellIs" dxfId="90" priority="79" stopIfTrue="1" operator="between">
      <formula>0</formula>
      <formula>0.0416550925925926</formula>
    </cfRule>
    <cfRule type="cellIs" dxfId="89" priority="80" stopIfTrue="1" operator="between">
      <formula>0.0416666666666667</formula>
      <formula>0.0833217592592593</formula>
    </cfRule>
    <cfRule type="cellIs" dxfId="88" priority="81" stopIfTrue="1" operator="between">
      <formula>0.0833333333333333</formula>
      <formula>4.16665509259259</formula>
    </cfRule>
  </conditionalFormatting>
  <conditionalFormatting sqref="C3:C33 G3:G33 K3:K33 S3:S33 W3:W33 AA3:AA33 AU3:AU33 AI3:AI33 AM3:AM33 AQ3:AQ33 AE3:AE33 O3:O33">
    <cfRule type="cellIs" dxfId="87" priority="85" stopIfTrue="1" operator="between">
      <formula>0</formula>
      <formula>749.99</formula>
    </cfRule>
    <cfRule type="cellIs" dxfId="86" priority="86" stopIfTrue="1" operator="greaterThanOrEqual">
      <formula>1500</formula>
    </cfRule>
    <cfRule type="cellIs" dxfId="85" priority="87" operator="greaterThanOrEqual">
      <formula>750</formula>
    </cfRule>
  </conditionalFormatting>
  <conditionalFormatting sqref="B3:B33 F3:F33 J3:J33 R3:R33 V3:V33 Z3:Z33 AT3:AT33 AH3:AH33 AL3:AL33 AP3:AP33 N3:N33 AD3:AD33">
    <cfRule type="cellIs" dxfId="84" priority="88" stopIfTrue="1" operator="lessThan">
      <formula>50</formula>
    </cfRule>
    <cfRule type="cellIs" dxfId="83" priority="89" stopIfTrue="1" operator="greaterThanOrEqual">
      <formula>100</formula>
    </cfRule>
    <cfRule type="cellIs" dxfId="82" priority="90" operator="greaterThanOrEqual">
      <formula>50</formula>
    </cfRule>
  </conditionalFormatting>
  <conditionalFormatting sqref="O42">
    <cfRule type="cellIs" dxfId="81" priority="7" operator="lessThan">
      <formula>0</formula>
    </cfRule>
    <cfRule type="cellIs" dxfId="80" priority="8" operator="greaterThanOrEqual">
      <formula>0</formula>
    </cfRule>
  </conditionalFormatting>
  <conditionalFormatting sqref="O42">
    <cfRule type="cellIs" dxfId="79" priority="5" operator="lessThan">
      <formula>0</formula>
    </cfRule>
    <cfRule type="cellIs" dxfId="78" priority="6" operator="greaterThanOrEqual">
      <formula>0</formula>
    </cfRule>
  </conditionalFormatting>
  <conditionalFormatting sqref="O43">
    <cfRule type="cellIs" dxfId="77" priority="3" operator="lessThan">
      <formula>0</formula>
    </cfRule>
    <cfRule type="cellIs" dxfId="76" priority="4" operator="greaterThanOrEqual">
      <formula>0</formula>
    </cfRule>
  </conditionalFormatting>
  <conditionalFormatting sqref="O43">
    <cfRule type="cellIs" dxfId="75" priority="1" operator="lessThan">
      <formula>0</formula>
    </cfRule>
    <cfRule type="cellIs" dxfId="74" priority="2" operator="greaterThanOrEqual">
      <formula>0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7" operator="equal" id="{289B178B-69F6-43BB-9631-D09A859CB7A4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38" operator="equal" id="{B5FC6EDC-E885-4F6B-987B-2A04B31EA409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78" operator="equal" id="{4A7C3B2C-2F31-4437-852F-C1FF1BAC2D25}">
            <xm:f>MAX( '13'!$C$34,$C$34)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77" operator="equal" id="{594E76C1-BD20-4F84-B9B2-FB94A3BD611A}">
            <xm:f>MAX( '14'!$G$34,$G$34)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76" operator="equal" id="{A5CA57B5-23E4-4C61-85B9-18BF7C8BE83D}">
            <xm:f>MAX( '14'!$K$34,$K$34)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75" operator="equal" id="{176D3003-44B5-44BB-A583-A2CB81E28706}">
            <xm:f>MAX( '12'!$O$34,$O$34)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74" operator="equal" id="{CFF54778-3124-4EA0-A977-1414391BDF29}">
            <xm:f>MAX( '12'!$S$34,$S$34)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73" operator="equal" id="{BD06ACE6-49F7-4AC5-A83C-3C92295DB199}">
            <xm:f>MAX( '13'!$W$34,$W$34)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72" operator="equal" id="{75F3F73C-637A-48FD-9463-4681BB73FA05}">
            <xm:f>MAX( '13'!$AA$34,$AA$34)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71" operator="equal" id="{3F686DF7-1684-47A6-A4E3-912FC95AA0E8}">
            <xm:f>MAX( '12'!$AE$34,$AE$34)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70" operator="equal" id="{F0C5A936-01A1-4D14-9B4C-9F82EEF85A7B}">
            <xm:f>MAX( 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69" operator="equal" id="{567C0D05-5F6C-4E3F-A982-E32BB9536512}">
            <xm:f>MAX( 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68" operator="equal" id="{0FA01DF6-E99F-4E1C-9C82-64EA1DCFF435}">
            <xm:f>MAX( '14'!$AQ$34,$AQ$34)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95" operator="equal" id="{FB376B9C-A5AD-4066-972F-31789FF98CF1}">
            <xm:f>MAX( '14'!$AU$34,$AU$34)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47" operator="equal" id="{D57EC187-19F0-4779-823D-9036F8CF4234}">
            <xm:f>MAX( 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62" operator="equal" id="{65FB90FA-5C2E-4EA4-AA0C-A68F305D72E3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61" operator="equal" id="{425AAA6A-AAB0-4222-936C-6155CAFF1B1F}">
            <xm:f>stat!$S$5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51" operator="equal" id="{97407483-BCD2-47B0-89F2-D022AEDCF35D}">
            <xm:f>MAX($B$1,'12'!$B$1:$C$1)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50" operator="equal" id="{AF6C225A-C8AE-4B8B-B83C-E9243AB7E2CD}">
            <xm:f>MAX( '14'!$B$34,$B$34)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49" operator="equal" id="{966D7A86-903C-4C1A-A67F-AE79FC1E3C8E}">
            <xm:f>MAX( '14'!$F$34,$F$34)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48" operator="equal" id="{C15E6E80-3103-43D2-A96A-37A72A5524A2}">
            <xm:f>MAX( '14'!$J$34,$J$34)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46" operator="equal" id="{783D2080-95DE-4C37-84BD-FC091D0FF677}">
            <xm:f>MAX( '12'!$R$34,$R$34)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45" operator="equal" id="{D025DF57-F183-4A30-803E-0098022E0DCF}">
            <xm:f>MAX('08'!$Q$34,$V$34)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44" operator="equal" id="{33614D42-4F98-4DFF-8849-D1435E3224D3}">
            <xm:f>MAX( '12'!$Z$34,$Z$34)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43" operator="equal" id="{2C215A82-BF69-44A2-9977-6B6FC6F13E43}">
            <xm:f>MAX( '12'!$AD$34,$AD$34)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42" operator="equal" id="{1AA714C1-878A-40FF-9F99-A7B2672E746F}">
            <xm:f>MAX( '13'!$AH$34,$AH$34)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41" operator="equal" id="{5073C24A-F16D-48F4-B89E-12C0D86CF24E}">
            <xm:f>MAX( '13'!$AL$34,$AL$34)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40" operator="equal" id="{04656E26-79D9-4506-9051-C9C246FF0CA9}">
            <xm:f>MAX( '14'!$AP$34,$AP$34)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39" operator="equal" id="{B2CAAD88-7213-44FB-8EA5-61E63E80619F}">
            <xm:f>MAX( '15'!$AT$34,$AT$34)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36" operator="equal" id="{FFB00057-AC85-46CC-BFFE-0CEC3FB0D0D6}">
            <xm:f>MAX($E$1,'12'!$E$1:$F$1)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35" operator="equal" id="{59028DD4-F2C9-4035-A5A7-C913C86F72AB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34" operator="equal" id="{B72D084F-6615-417D-ACF8-B9084527CA8F}">
            <xm:f>stat!$N$12</xm:f>
            <x14:dxf>
              <font>
                <b val="0"/>
                <i/>
              </font>
            </x14:dxf>
          </x14:cfRule>
          <xm:sqref>N42</xm:sqref>
        </x14:conditionalFormatting>
        <x14:conditionalFormatting xmlns:xm="http://schemas.microsoft.com/office/excel/2006/main">
          <x14:cfRule type="cellIs" priority="33" operator="equal" id="{F3B83A1E-7523-4ADE-97C9-ED23F8C320A0}">
            <xm:f>stat!$N$14</xm:f>
            <x14:dxf>
              <font>
                <b val="0"/>
                <i/>
              </font>
            </x14:dxf>
          </x14:cfRule>
          <xm:sqref>N43</xm:sqref>
        </x14:conditionalFormatting>
        <x14:conditionalFormatting xmlns:xm="http://schemas.microsoft.com/office/excel/2006/main">
          <x14:cfRule type="cellIs" priority="32" operator="equal" id="{6972DE0C-6253-496D-A3D0-C231C1F7AFF8}">
            <xm:f>MAX( '15'!$AT$36,$AT$36)</xm:f>
            <x14:dxf>
              <font>
                <b val="0"/>
                <i/>
              </font>
            </x14:dxf>
          </x14:cfRule>
          <xm:sqref>AT36</xm:sqref>
        </x14:conditionalFormatting>
        <x14:conditionalFormatting xmlns:xm="http://schemas.microsoft.com/office/excel/2006/main">
          <x14:cfRule type="cellIs" priority="31" operator="equal" id="{C948C127-403D-4333-AACA-8293BC3E1C92}">
            <xm:f>MAX( '08'!$AJ$37,$AU$36)</xm:f>
            <x14:dxf>
              <font>
                <b val="0"/>
                <i/>
              </font>
            </x14:dxf>
          </x14:cfRule>
          <xm:sqref>AU36</xm:sqref>
        </x14:conditionalFormatting>
        <x14:conditionalFormatting xmlns:xm="http://schemas.microsoft.com/office/excel/2006/main">
          <x14:cfRule type="cellIs" priority="30" operator="equal" id="{50D299ED-6ECD-4A70-BFCD-0C88D65A200D}">
            <xm:f>MAX( '14'!$AQ$36,$AQ$36)</xm:f>
            <x14:dxf>
              <font>
                <b val="0"/>
                <i/>
              </font>
            </x14:dxf>
          </x14:cfRule>
          <xm:sqref>AQ36</xm:sqref>
        </x14:conditionalFormatting>
        <x14:conditionalFormatting xmlns:xm="http://schemas.microsoft.com/office/excel/2006/main">
          <x14:cfRule type="cellIs" priority="29" operator="equal" id="{B56BEBAC-7971-44D3-80B2-B224DEF3D9ED}">
            <xm:f>MAX('08'!$AF$37,$AP$36)</xm:f>
            <x14:dxf>
              <font>
                <b val="0"/>
                <i/>
              </font>
            </x14:dxf>
          </x14:cfRule>
          <xm:sqref>AP36</xm:sqref>
        </x14:conditionalFormatting>
        <x14:conditionalFormatting xmlns:xm="http://schemas.microsoft.com/office/excel/2006/main">
          <x14:cfRule type="cellIs" priority="28" operator="equal" id="{55709CFE-DA5B-479B-850D-191FCB198203}">
            <xm:f>MAX('14'!$AM$36,$AM$36)</xm:f>
            <x14:dxf>
              <font>
                <b val="0"/>
                <i/>
              </font>
            </x14:dxf>
          </x14:cfRule>
          <xm:sqref>AM36</xm:sqref>
        </x14:conditionalFormatting>
        <x14:conditionalFormatting xmlns:xm="http://schemas.microsoft.com/office/excel/2006/main">
          <x14:cfRule type="cellIs" priority="27" operator="equal" id="{4B20C6D3-7EE2-45D0-93BB-A1BA63097980}">
            <xm:f>MAX('09'!$AL$36,$AL$36)</xm:f>
            <x14:dxf>
              <font>
                <b val="0"/>
                <i/>
              </font>
            </x14:dxf>
          </x14:cfRule>
          <xm:sqref>AL36</xm:sqref>
        </x14:conditionalFormatting>
        <x14:conditionalFormatting xmlns:xm="http://schemas.microsoft.com/office/excel/2006/main">
          <x14:cfRule type="cellIs" priority="26" operator="equal" id="{5C64275C-FA88-4510-BC24-D2ABC8624E92}">
            <xm:f>MAX('11'!$AI$36,$AI$36)</xm:f>
            <x14:dxf>
              <font>
                <b val="0"/>
                <i/>
              </font>
            </x14:dxf>
          </x14:cfRule>
          <xm:sqref>AI36</xm:sqref>
        </x14:conditionalFormatting>
        <x14:conditionalFormatting xmlns:xm="http://schemas.microsoft.com/office/excel/2006/main">
          <x14:cfRule type="cellIs" priority="25" operator="equal" id="{B28B224C-B9A5-49A8-9052-50B887DEE395}">
            <xm:f>MAX('13'!$AH$36,$AH$36)</xm:f>
            <x14:dxf>
              <font>
                <b val="0"/>
                <i/>
              </font>
            </x14:dxf>
          </x14:cfRule>
          <xm:sqref>AH36</xm:sqref>
        </x14:conditionalFormatting>
        <x14:conditionalFormatting xmlns:xm="http://schemas.microsoft.com/office/excel/2006/main">
          <x14:cfRule type="cellIs" priority="24" operator="equal" id="{D37A0BDF-C091-4CF6-9B3A-5B9B52F2C283}">
            <xm:f>MAX('12'!$AE$36,$AE$36)</xm:f>
            <x14:dxf>
              <font>
                <b val="0"/>
                <i/>
              </font>
            </x14:dxf>
          </x14:cfRule>
          <xm:sqref>AE36</xm:sqref>
        </x14:conditionalFormatting>
        <x14:conditionalFormatting xmlns:xm="http://schemas.microsoft.com/office/excel/2006/main">
          <x14:cfRule type="cellIs" priority="23" operator="equal" id="{8245C768-DF08-4DBE-A667-31F22275C4ED}">
            <xm:f>MAX('12'!$AD$36,$AD$36)</xm:f>
            <x14:dxf>
              <font>
                <b val="0"/>
                <i/>
              </font>
            </x14:dxf>
          </x14:cfRule>
          <xm:sqref>AD36</xm:sqref>
        </x14:conditionalFormatting>
        <x14:conditionalFormatting xmlns:xm="http://schemas.microsoft.com/office/excel/2006/main">
          <x14:cfRule type="cellIs" priority="22" operator="equal" id="{DD33730A-3043-4626-967E-0ED6AAAB8EDD}">
            <xm:f>MAX('13'!$AA$36,$AA$36)</xm:f>
            <x14:dxf>
              <font>
                <b val="0"/>
                <i/>
              </font>
            </x14:dxf>
          </x14:cfRule>
          <xm:sqref>AA36</xm:sqref>
        </x14:conditionalFormatting>
        <x14:conditionalFormatting xmlns:xm="http://schemas.microsoft.com/office/excel/2006/main">
          <x14:cfRule type="cellIs" priority="21" operator="equal" id="{60F9ADB8-41B3-4F7E-87C9-9E5ACB78E556}">
            <xm:f>MAX('09'!$Z$36,$Z$36)</xm:f>
            <x14:dxf>
              <font>
                <b val="0"/>
                <i/>
              </font>
            </x14:dxf>
          </x14:cfRule>
          <xm:sqref>Z36</xm:sqref>
        </x14:conditionalFormatting>
        <x14:conditionalFormatting xmlns:xm="http://schemas.microsoft.com/office/excel/2006/main">
          <x14:cfRule type="cellIs" priority="20" operator="equal" id="{7572158B-D34D-4987-A572-D8BD2C3AA408}">
            <xm:f>MAX('11'!$W$36,$W$36)</xm:f>
            <x14:dxf>
              <font>
                <b val="0"/>
                <i/>
              </font>
            </x14:dxf>
          </x14:cfRule>
          <xm:sqref>W36</xm:sqref>
        </x14:conditionalFormatting>
        <x14:conditionalFormatting xmlns:xm="http://schemas.microsoft.com/office/excel/2006/main">
          <x14:cfRule type="cellIs" priority="19" operator="equal" id="{7514DD71-C733-4C00-BC4B-992199E4206E}">
            <xm:f>MAX('14'!$V$36,$V$36)</xm:f>
            <x14:dxf>
              <font>
                <b val="0"/>
                <i/>
              </font>
            </x14:dxf>
          </x14:cfRule>
          <xm:sqref>V36</xm:sqref>
        </x14:conditionalFormatting>
        <x14:conditionalFormatting xmlns:xm="http://schemas.microsoft.com/office/excel/2006/main">
          <x14:cfRule type="cellIs" priority="18" operator="equal" id="{0ED81EC6-B99B-401C-81A3-3D668C05BC78}">
            <xm:f>MAX('13'!$S$36,$S$36)</xm:f>
            <x14:dxf>
              <font>
                <b val="0"/>
                <i/>
              </font>
            </x14:dxf>
          </x14:cfRule>
          <xm:sqref>S36</xm:sqref>
        </x14:conditionalFormatting>
        <x14:conditionalFormatting xmlns:xm="http://schemas.microsoft.com/office/excel/2006/main">
          <x14:cfRule type="cellIs" priority="17" operator="equal" id="{4FC31E06-0BA1-4358-993C-692B9F4902B6}">
            <xm:f>MAX('09'!$R$36,$R$36)</xm:f>
            <x14:dxf>
              <font>
                <b val="0"/>
                <i/>
              </font>
            </x14:dxf>
          </x14:cfRule>
          <xm:sqref>R36</xm:sqref>
        </x14:conditionalFormatting>
        <x14:conditionalFormatting xmlns:xm="http://schemas.microsoft.com/office/excel/2006/main">
          <x14:cfRule type="cellIs" priority="16" operator="equal" id="{F112BD2B-8EB4-49A4-B1DB-5AF61C76DB21}">
            <xm:f>MAX('08'!$K$37,$N$36)</xm:f>
            <x14:dxf>
              <font>
                <b val="0"/>
                <i/>
              </font>
            </x14:dxf>
          </x14:cfRule>
          <xm:sqref>N36</xm:sqref>
        </x14:conditionalFormatting>
        <x14:conditionalFormatting xmlns:xm="http://schemas.microsoft.com/office/excel/2006/main">
          <x14:cfRule type="cellIs" priority="15" operator="equal" id="{3C6C3210-AB2E-4516-A47E-15ACFAAAAD40}">
            <xm:f>MAX('12'!$O$36,$O$36)</xm:f>
            <x14:dxf>
              <font>
                <b val="0"/>
                <i/>
              </font>
            </x14:dxf>
          </x14:cfRule>
          <xm:sqref>O36</xm:sqref>
        </x14:conditionalFormatting>
        <x14:conditionalFormatting xmlns:xm="http://schemas.microsoft.com/office/excel/2006/main">
          <x14:cfRule type="cellIs" priority="14" operator="equal" id="{C02C5755-AE89-48C2-A24E-9BCE0C73251A}">
            <xm:f>MAX('12'!$J$36,$J$36)</xm:f>
            <x14:dxf>
              <font>
                <b val="0"/>
                <i/>
              </font>
            </x14:dxf>
          </x14:cfRule>
          <xm:sqref>J36</xm:sqref>
        </x14:conditionalFormatting>
        <x14:conditionalFormatting xmlns:xm="http://schemas.microsoft.com/office/excel/2006/main">
          <x14:cfRule type="cellIs" priority="13" operator="equal" id="{BD9AE84D-E46B-4FE3-A44F-4FED5A3322A7}">
            <xm:f>MAX('12'!$K$36,$K$36)</xm:f>
            <x14:dxf>
              <font>
                <b val="0"/>
                <i/>
              </font>
            </x14:dxf>
          </x14:cfRule>
          <xm:sqref>K36</xm:sqref>
        </x14:conditionalFormatting>
        <x14:conditionalFormatting xmlns:xm="http://schemas.microsoft.com/office/excel/2006/main">
          <x14:cfRule type="cellIs" priority="12" operator="equal" id="{076B71A8-D133-4D0F-BC77-502B60B35371}">
            <xm:f>MAX('08'!$E$37,$F$36)</xm:f>
            <x14:dxf>
              <font>
                <b val="0"/>
                <i/>
              </font>
            </x14:dxf>
          </x14:cfRule>
          <xm:sqref>F36</xm:sqref>
        </x14:conditionalFormatting>
        <x14:conditionalFormatting xmlns:xm="http://schemas.microsoft.com/office/excel/2006/main">
          <x14:cfRule type="cellIs" priority="11" operator="equal" id="{8EB4B8BD-299C-4EF1-B34B-7C2ECCE3E2BC}">
            <xm:f>MAX('14'!$G$36,$G$36)</xm:f>
            <x14:dxf>
              <font>
                <b val="0"/>
                <i/>
              </font>
            </x14:dxf>
          </x14:cfRule>
          <xm:sqref>G36</xm:sqref>
        </x14:conditionalFormatting>
        <x14:conditionalFormatting xmlns:xm="http://schemas.microsoft.com/office/excel/2006/main">
          <x14:cfRule type="cellIs" priority="10" operator="equal" id="{6C94CD59-351F-4B82-A036-8F395CE07017}">
            <xm:f>MAX('14'!$B$36,$B$36)</xm:f>
            <x14:dxf>
              <font>
                <b val="0"/>
                <i/>
              </font>
            </x14:dxf>
          </x14:cfRule>
          <xm:sqref>B36</xm:sqref>
        </x14:conditionalFormatting>
        <x14:conditionalFormatting xmlns:xm="http://schemas.microsoft.com/office/excel/2006/main">
          <x14:cfRule type="cellIs" priority="9" operator="equal" id="{B82796B4-7DEA-43F7-915E-7743DAE83910}">
            <xm:f>MAX('08'!$C$37,$C$36)</xm:f>
            <x14:dxf>
              <font>
                <b val="0"/>
                <i/>
              </font>
            </x14:dxf>
          </x14:cfRule>
          <xm:sqref>C36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79998168889431442"/>
  </sheetPr>
  <dimension ref="A1:V40"/>
  <sheetViews>
    <sheetView tabSelected="1" workbookViewId="0">
      <selection activeCell="K23" sqref="K23"/>
    </sheetView>
  </sheetViews>
  <sheetFormatPr baseColWidth="10" defaultColWidth="11.42578125" defaultRowHeight="12.75" x14ac:dyDescent="0.2"/>
  <cols>
    <col min="2" max="2" width="11.140625" customWidth="1"/>
    <col min="9" max="9" width="2.85546875" style="166" customWidth="1"/>
    <col min="13" max="13" width="12.42578125" bestFit="1" customWidth="1"/>
    <col min="16" max="16" width="2.85546875" style="166" customWidth="1"/>
    <col min="17" max="17" width="15.28515625" bestFit="1" customWidth="1"/>
    <col min="20" max="20" width="2.85546875" style="166" customWidth="1"/>
    <col min="21" max="21" width="14.140625" bestFit="1" customWidth="1"/>
  </cols>
  <sheetData>
    <row r="1" spans="1:21" ht="15.75" x14ac:dyDescent="0.25">
      <c r="A1" s="449" t="s">
        <v>931</v>
      </c>
      <c r="B1" s="449"/>
      <c r="C1" s="449"/>
      <c r="D1" s="449"/>
      <c r="E1" s="449"/>
      <c r="F1" s="449"/>
      <c r="G1" s="449"/>
      <c r="H1" s="449"/>
      <c r="I1" s="449"/>
      <c r="J1" s="449"/>
      <c r="K1" s="449"/>
      <c r="L1" s="449"/>
      <c r="M1" s="449"/>
      <c r="N1" s="449"/>
      <c r="O1" s="449"/>
      <c r="P1" s="449"/>
      <c r="Q1" s="449"/>
      <c r="R1" s="449"/>
      <c r="S1" s="449"/>
      <c r="T1" s="449"/>
      <c r="U1" s="449"/>
    </row>
    <row r="3" spans="1:21" s="66" customFormat="1" ht="15.75" x14ac:dyDescent="0.25">
      <c r="A3" s="442" t="s">
        <v>309</v>
      </c>
      <c r="B3" s="443"/>
      <c r="C3" s="443"/>
      <c r="D3" s="443"/>
      <c r="E3" s="443"/>
      <c r="F3" s="443"/>
      <c r="G3" s="443"/>
      <c r="H3" s="444"/>
      <c r="I3" s="164"/>
      <c r="J3" s="442" t="s">
        <v>281</v>
      </c>
      <c r="K3" s="443"/>
      <c r="L3" s="444"/>
      <c r="N3" s="445" t="s">
        <v>823</v>
      </c>
      <c r="O3" s="446"/>
      <c r="P3" s="164"/>
      <c r="Q3" s="442" t="s">
        <v>382</v>
      </c>
      <c r="R3" s="443"/>
      <c r="S3" s="444"/>
      <c r="T3" s="164"/>
      <c r="U3" s="306" t="s">
        <v>588</v>
      </c>
    </row>
    <row r="4" spans="1:21" s="65" customFormat="1" ht="15.75" x14ac:dyDescent="0.25">
      <c r="A4" s="199" t="s">
        <v>148</v>
      </c>
      <c r="B4" s="274">
        <v>0.13749999999999998</v>
      </c>
      <c r="C4" s="128" t="s">
        <v>149</v>
      </c>
      <c r="D4" s="311">
        <f ca="1">A13-(B4/2)</f>
        <v>0.45162037037037039</v>
      </c>
      <c r="E4" s="317" t="s">
        <v>299</v>
      </c>
      <c r="F4" s="311">
        <f ca="1">A14-(B4/2)</f>
        <v>0.49328703703703702</v>
      </c>
      <c r="G4" s="317" t="s">
        <v>300</v>
      </c>
      <c r="H4" s="247"/>
      <c r="I4" s="165"/>
      <c r="J4" s="143" t="s">
        <v>266</v>
      </c>
      <c r="K4" s="384">
        <v>590</v>
      </c>
      <c r="L4" s="146" t="s">
        <v>282</v>
      </c>
      <c r="N4" s="355" t="s">
        <v>243</v>
      </c>
      <c r="O4" s="356" t="s">
        <v>2</v>
      </c>
      <c r="P4" s="165"/>
      <c r="Q4" s="199" t="s">
        <v>380</v>
      </c>
      <c r="R4" s="200">
        <f>MAX('08'!G1,'09'!I1,'10'!I1,'11'!I1,'12'!I1,'13'!I1,'14'!I1,'15'!I1,'16'!I1,'17'!I1,'18'!I1)</f>
        <v>207</v>
      </c>
      <c r="S4" s="201">
        <f>MAX('08'!C1,'09'!E1,'10'!E1,'11'!E1,'12'!E1,'13'!E1,'14'!E1,'15'!E1,'16'!E1,'17'!E1,'18'!E1)</f>
        <v>8113.8899999999985</v>
      </c>
      <c r="T4" s="165"/>
      <c r="U4" s="301">
        <v>2.8472222222222222E-2</v>
      </c>
    </row>
    <row r="5" spans="1:21" ht="15.75" customHeight="1" x14ac:dyDescent="0.2">
      <c r="A5" s="114" t="s">
        <v>128</v>
      </c>
      <c r="B5" s="27"/>
      <c r="C5" s="27"/>
      <c r="D5" s="27"/>
      <c r="E5" s="124" t="s">
        <v>55</v>
      </c>
      <c r="F5" s="27"/>
      <c r="G5" s="27"/>
      <c r="H5" s="123"/>
      <c r="J5" s="144" t="s">
        <v>267</v>
      </c>
      <c r="K5" s="385">
        <v>2035</v>
      </c>
      <c r="L5" s="147" t="s">
        <v>282</v>
      </c>
      <c r="N5" s="352">
        <f>AVERAGE('08'!C1:D1,'09'!E1:F1,'10'!E1:F1,'11'!E1:F1,'12'!E1:F1,'13'!E1:F1,'14'!E1:F1,'15'!E1:F1,'16'!E1:F1,'17'!E1:F1)</f>
        <v>7059.7260000000006</v>
      </c>
      <c r="O5" s="201">
        <f>AVERAGE('08'!AI1:AJ1,'09'!AU1:AV1,'10'!AU1:AV1,'11'!AU1:AV1,'12'!AU1:AV1,'13'!AU1:AV1,'14'!AU1:AV1,'15'!AU1:AV1,'16'!AU1:AV1,'17'!AU1:AV1)</f>
        <v>68608.800000000003</v>
      </c>
      <c r="Q5" s="199" t="s">
        <v>381</v>
      </c>
      <c r="R5" s="202">
        <f>MAX(Urlaub!N2,'08'!AE1,'09'!AN1,'10'!AN1,'11'!AN1,'12'!AN1,'13'!AN1,'14'!AN1,'15'!AN1,'16'!AN1,'17'!AN1,'18'!AN1)</f>
        <v>2700</v>
      </c>
      <c r="S5" s="201">
        <f>MAX('08'!AI1,'09'!AU1,'10'!AU1,'11'!AU1,'12'!AU1,'13'!AU1,'14'!AU1,'15'!AU1,'16'!AU1,'17'!AU1,'18'!AU1)</f>
        <v>89263</v>
      </c>
      <c r="U5" s="301">
        <v>3.6805555555555557E-2</v>
      </c>
    </row>
    <row r="6" spans="1:21" x14ac:dyDescent="0.2">
      <c r="A6" s="114" t="s">
        <v>129</v>
      </c>
      <c r="B6" s="27"/>
      <c r="C6" s="27"/>
      <c r="D6" t="s">
        <v>336</v>
      </c>
      <c r="E6" s="27"/>
      <c r="F6" s="27"/>
      <c r="G6" s="27"/>
      <c r="H6" s="123"/>
      <c r="J6" s="143" t="s">
        <v>268</v>
      </c>
      <c r="K6" s="384">
        <v>590</v>
      </c>
      <c r="L6" s="146" t="s">
        <v>282</v>
      </c>
      <c r="N6" s="447" t="s">
        <v>746</v>
      </c>
      <c r="O6" s="448"/>
      <c r="Q6" s="199" t="s">
        <v>483</v>
      </c>
      <c r="R6" s="250">
        <f>MAX('08'!AC40,'09'!AL42,'10'!AL42,'11'!AL42,'12'!AL42,'13'!AL42,'14'!AL42,'15'!AL42,'16'!AL42,'17'!AL42,'18'!AL42)</f>
        <v>1042.1100000000001</v>
      </c>
      <c r="S6" s="251">
        <f>MAX('08'!AD40,'09'!AM42,'10'!AM42,'11'!AM42,'12'!AM42,'13'!AM42,'14'!AM42,'15'!AM42,'16'!AM42,'17'!AM42,'18'!AM42)</f>
        <v>13461</v>
      </c>
      <c r="U6" s="301"/>
    </row>
    <row r="7" spans="1:21" x14ac:dyDescent="0.2">
      <c r="A7" s="125">
        <v>9</v>
      </c>
      <c r="B7" s="27" t="s">
        <v>130</v>
      </c>
      <c r="C7" s="27"/>
      <c r="D7" s="27">
        <v>49</v>
      </c>
      <c r="E7" s="27" t="s">
        <v>337</v>
      </c>
      <c r="F7" s="27"/>
      <c r="G7" s="27"/>
      <c r="H7" s="123"/>
      <c r="J7" s="144" t="s">
        <v>269</v>
      </c>
      <c r="K7" s="385">
        <v>620</v>
      </c>
      <c r="L7" s="147" t="s">
        <v>282</v>
      </c>
      <c r="N7" s="352">
        <f>S4-N5</f>
        <v>1054.1639999999979</v>
      </c>
      <c r="O7" s="201">
        <f>S5-O5</f>
        <v>20654.199999999997</v>
      </c>
      <c r="Q7" s="199" t="s">
        <v>932</v>
      </c>
      <c r="R7" s="161">
        <f>MAX('09'!AR1,'10'!AR1,'11'!AR1,'12'!AR1,'13'!AR1,'14'!AR1,'15'!AR1,'16'!AR1,'17'!AR1,'18'!AR1)</f>
        <v>0.125</v>
      </c>
      <c r="S7" s="201">
        <f>MAX('09'!AV35,'10'!AV35,'11'!AV35,'12'!AV35,'13'!AV35,'14'!AV35,'15'!AV35,'16'!AV35,'17'!AV35,'18'!AV35)</f>
        <v>920.8</v>
      </c>
      <c r="U7" s="301"/>
    </row>
    <row r="8" spans="1:21" x14ac:dyDescent="0.2">
      <c r="A8" s="126">
        <v>13</v>
      </c>
      <c r="B8" s="27" t="s">
        <v>131</v>
      </c>
      <c r="C8" s="27"/>
      <c r="D8" s="27">
        <v>42</v>
      </c>
      <c r="E8" s="27" t="s">
        <v>338</v>
      </c>
      <c r="F8" s="27"/>
      <c r="G8" s="27"/>
      <c r="H8" s="123"/>
      <c r="J8" s="143" t="s">
        <v>270</v>
      </c>
      <c r="K8" s="384"/>
      <c r="L8" s="146" t="s">
        <v>282</v>
      </c>
      <c r="N8" s="353">
        <f>N5/S4</f>
        <v>0.87007908660334343</v>
      </c>
      <c r="O8" s="354">
        <f>O5/S5</f>
        <v>0.76861409542587633</v>
      </c>
      <c r="Q8" s="203" t="s">
        <v>763</v>
      </c>
      <c r="R8" s="174">
        <f>MAX('08'!B40,'09'!T1:U1,'10'!T1:U1,'11'!T1:U1,'12'!T1:U1,'13'!T1:U1,'14'!T1:U1,'15'!T1:U1,'16'!T1:U1,'17'!T1:U1,'18'!T1:U1)</f>
        <v>28.737098655776773</v>
      </c>
      <c r="S8" s="249">
        <f>MAX('08'!C40,'09'!AB1:AC1,'10'!AB1:AC1,'11'!AB1:AC1,'12'!AB1:AC1,'13'!AB1:AC1,'14'!AB1:AC1,'15'!AB1:AC1,'16'!AB1:AC1,'17'!AB1:AC1,'18'!AB1:AC1)</f>
        <v>297.89439566472174</v>
      </c>
      <c r="U8" s="302">
        <f>SUM(U4:U7)</f>
        <v>6.5277777777777782E-2</v>
      </c>
    </row>
    <row r="9" spans="1:21" x14ac:dyDescent="0.2">
      <c r="A9" s="126">
        <v>35</v>
      </c>
      <c r="B9" s="27" t="s">
        <v>132</v>
      </c>
      <c r="C9" s="27"/>
      <c r="D9" s="27">
        <v>10</v>
      </c>
      <c r="E9" s="175" t="s">
        <v>339</v>
      </c>
      <c r="F9" s="27"/>
      <c r="G9" s="27"/>
      <c r="H9" s="123"/>
      <c r="J9" s="144" t="s">
        <v>271</v>
      </c>
      <c r="K9" s="385"/>
      <c r="L9" s="147" t="s">
        <v>282</v>
      </c>
      <c r="N9" s="170"/>
      <c r="O9" s="130"/>
      <c r="U9" s="27"/>
    </row>
    <row r="10" spans="1:21" ht="15.75" x14ac:dyDescent="0.25">
      <c r="A10" s="127">
        <f ca="1">TODAY()</f>
        <v>44045</v>
      </c>
      <c r="B10" s="128" t="s">
        <v>150</v>
      </c>
      <c r="C10" s="27"/>
      <c r="D10" s="27"/>
      <c r="E10" s="27"/>
      <c r="F10" s="27"/>
      <c r="G10" s="27"/>
      <c r="H10" s="123"/>
      <c r="J10" s="143" t="s">
        <v>272</v>
      </c>
      <c r="K10" s="384"/>
      <c r="L10" s="146" t="s">
        <v>282</v>
      </c>
      <c r="N10" s="445" t="s">
        <v>747</v>
      </c>
      <c r="O10" s="446"/>
      <c r="Q10" s="442" t="s">
        <v>953</v>
      </c>
      <c r="R10" s="443"/>
      <c r="S10" s="444"/>
      <c r="U10" s="306" t="s">
        <v>926</v>
      </c>
    </row>
    <row r="11" spans="1:21" x14ac:dyDescent="0.2">
      <c r="A11" s="114" t="s">
        <v>133</v>
      </c>
      <c r="B11" s="27"/>
      <c r="C11" s="27"/>
      <c r="D11" s="27"/>
      <c r="E11" s="27"/>
      <c r="F11" s="27"/>
      <c r="G11" s="27"/>
      <c r="H11" s="123"/>
      <c r="J11" s="144" t="s">
        <v>273</v>
      </c>
      <c r="K11" s="385"/>
      <c r="L11" s="147" t="s">
        <v>282</v>
      </c>
      <c r="N11" s="358" t="s">
        <v>748</v>
      </c>
      <c r="O11" s="359" t="s">
        <v>749</v>
      </c>
      <c r="Q11" s="205" t="s">
        <v>243</v>
      </c>
      <c r="R11" s="264"/>
      <c r="S11" s="265">
        <f>SUM('08'!AI35,'09'!AT35,'10'!AT35,'11'!AT35,'12'!AT35,'13'!AT35,'14'!AT35,'15'!AT35,'16'!AT35,'17'!AT35,'18'!AT35)</f>
        <v>76375.41</v>
      </c>
      <c r="U11" s="301">
        <v>0.36805555555555558</v>
      </c>
    </row>
    <row r="12" spans="1:21" x14ac:dyDescent="0.2">
      <c r="A12" s="317">
        <f ca="1">TIME(E16,F16,G16)</f>
        <v>0.47870370370370369</v>
      </c>
      <c r="B12" s="27" t="s">
        <v>134</v>
      </c>
      <c r="C12" s="27"/>
      <c r="D12" s="27"/>
      <c r="E12" s="27"/>
      <c r="F12" s="27"/>
      <c r="G12" s="27"/>
      <c r="H12" s="123"/>
      <c r="J12" s="143" t="s">
        <v>274</v>
      </c>
      <c r="K12" s="384"/>
      <c r="L12" s="146" t="s">
        <v>282</v>
      </c>
      <c r="N12" s="136">
        <f>MAX('08'!N40,'09'!N42,'10'!N42,'11'!N42,'12'!N42,'13'!N42,'14'!N42,'15'!N42,'16'!N42)</f>
        <v>82</v>
      </c>
      <c r="O12" s="360">
        <f>N12/G37</f>
        <v>2.7767817296160264</v>
      </c>
      <c r="Q12" s="73" t="s">
        <v>523</v>
      </c>
      <c r="R12" s="262">
        <v>40074</v>
      </c>
      <c r="S12" s="263">
        <f>S11/R12</f>
        <v>1.9058594100913311</v>
      </c>
      <c r="U12" s="301">
        <v>0.29652777777777778</v>
      </c>
    </row>
    <row r="13" spans="1:21" x14ac:dyDescent="0.2">
      <c r="A13" s="317">
        <f ca="1">TIME(E16+1,F16,G16)</f>
        <v>0.52037037037037037</v>
      </c>
      <c r="B13" s="27" t="s">
        <v>135</v>
      </c>
      <c r="C13" s="27"/>
      <c r="D13" s="27"/>
      <c r="E13" s="27"/>
      <c r="F13" s="27"/>
      <c r="G13" s="27"/>
      <c r="H13" s="123"/>
      <c r="J13" s="144" t="s">
        <v>275</v>
      </c>
      <c r="K13" s="385"/>
      <c r="L13" s="147" t="s">
        <v>282</v>
      </c>
      <c r="N13" s="447" t="s">
        <v>753</v>
      </c>
      <c r="O13" s="448"/>
      <c r="Q13" s="266" t="s">
        <v>2</v>
      </c>
      <c r="R13" s="267"/>
      <c r="S13" s="268">
        <f>SUM('08'!AJ35,'09'!AU35,'10'!AU35,'11'!AU35,'12'!AU35,'13'!AU35,'14'!AU35,'15'!AU35,'16'!AU35,'17'!AU35,'18'!AU35)</f>
        <v>730749</v>
      </c>
      <c r="U13" s="302">
        <f>U11-U12</f>
        <v>7.1527777777777801E-2</v>
      </c>
    </row>
    <row r="14" spans="1:21" x14ac:dyDescent="0.2">
      <c r="A14" s="317">
        <f ca="1">TIME(E16+2,F16,G16)</f>
        <v>0.562037037037037</v>
      </c>
      <c r="B14" s="27" t="s">
        <v>136</v>
      </c>
      <c r="C14" s="27"/>
      <c r="D14" s="27"/>
      <c r="E14" s="27"/>
      <c r="F14" s="27"/>
      <c r="G14" s="27"/>
      <c r="H14" s="123"/>
      <c r="J14" s="143" t="s">
        <v>276</v>
      </c>
      <c r="K14" s="384"/>
      <c r="L14" s="146" t="s">
        <v>282</v>
      </c>
      <c r="N14" s="361">
        <f>MAX('08'!N41,'09'!N43,'10'!N43,'11'!N43,'12'!N43,'13'!N43,'14'!N43,'15'!N43,'16'!N43)</f>
        <v>18</v>
      </c>
      <c r="O14" s="362">
        <f>N14/G37</f>
        <v>0.60953745284254235</v>
      </c>
      <c r="Q14" s="259" t="s">
        <v>517</v>
      </c>
      <c r="R14" s="261"/>
      <c r="S14" s="260">
        <v>15000</v>
      </c>
    </row>
    <row r="15" spans="1:21" ht="15.75" x14ac:dyDescent="0.25">
      <c r="A15" s="316">
        <f ca="1">(B18-G18)*4</f>
        <v>-6.2503268265354563</v>
      </c>
      <c r="B15" s="27" t="s">
        <v>137</v>
      </c>
      <c r="C15" s="27"/>
      <c r="D15" s="27">
        <f>(A9/60+A8)/60+A7</f>
        <v>9.2263888888888896</v>
      </c>
      <c r="E15" s="27" t="s">
        <v>138</v>
      </c>
      <c r="F15" s="27"/>
      <c r="G15" s="27"/>
      <c r="H15" s="123"/>
      <c r="J15" s="144" t="s">
        <v>277</v>
      </c>
      <c r="K15" s="385"/>
      <c r="L15" s="147" t="s">
        <v>282</v>
      </c>
      <c r="N15" s="170"/>
      <c r="O15" s="130"/>
      <c r="Q15" s="259" t="s">
        <v>518</v>
      </c>
      <c r="R15" s="261"/>
      <c r="S15" s="260">
        <v>50000</v>
      </c>
      <c r="U15" s="306" t="s">
        <v>609</v>
      </c>
    </row>
    <row r="16" spans="1:21" ht="15.75" x14ac:dyDescent="0.25">
      <c r="A16" s="114" t="s">
        <v>139</v>
      </c>
      <c r="B16" s="27"/>
      <c r="C16" s="27" t="s">
        <v>140</v>
      </c>
      <c r="D16" s="129">
        <f ca="1">(180-D15)*4-A15</f>
        <v>689.34477127097989</v>
      </c>
      <c r="E16" s="130">
        <f ca="1">INT(D16/60)</f>
        <v>11</v>
      </c>
      <c r="F16" s="130">
        <f ca="1">INT((D16/60-E16)*60)</f>
        <v>29</v>
      </c>
      <c r="G16" s="27">
        <f ca="1">(D16-E16*60-F16)*60</f>
        <v>20.686276258793441</v>
      </c>
      <c r="H16" s="123"/>
      <c r="J16" s="143" t="s">
        <v>278</v>
      </c>
      <c r="K16" s="384"/>
      <c r="L16" s="146" t="s">
        <v>282</v>
      </c>
      <c r="N16" s="445" t="s">
        <v>754</v>
      </c>
      <c r="O16" s="446"/>
      <c r="Q16" s="259" t="s">
        <v>519</v>
      </c>
      <c r="R16" s="261"/>
      <c r="S16" s="260">
        <v>80000</v>
      </c>
      <c r="U16" s="304">
        <v>1210</v>
      </c>
    </row>
    <row r="17" spans="1:22" x14ac:dyDescent="0.2">
      <c r="A17" s="131" t="s">
        <v>141</v>
      </c>
      <c r="B17" s="132" t="s">
        <v>142</v>
      </c>
      <c r="C17" s="132" t="s">
        <v>143</v>
      </c>
      <c r="D17" s="132" t="s">
        <v>144</v>
      </c>
      <c r="E17" s="132" t="s">
        <v>145</v>
      </c>
      <c r="F17" s="132" t="s">
        <v>146</v>
      </c>
      <c r="G17" s="132" t="s">
        <v>147</v>
      </c>
      <c r="H17" s="123"/>
      <c r="J17" s="145" t="s">
        <v>279</v>
      </c>
      <c r="K17" s="386"/>
      <c r="L17" s="148" t="s">
        <v>282</v>
      </c>
      <c r="N17" s="355" t="s">
        <v>243</v>
      </c>
      <c r="O17" s="356" t="s">
        <v>2</v>
      </c>
      <c r="Q17" s="259" t="s">
        <v>520</v>
      </c>
      <c r="R17" s="261"/>
      <c r="S17" s="260">
        <v>500000</v>
      </c>
      <c r="U17" s="304">
        <v>1680</v>
      </c>
    </row>
    <row r="18" spans="1:22" x14ac:dyDescent="0.2">
      <c r="A18" s="133">
        <f ca="1">280.46+0.9856474*(A10-36526)</f>
        <v>7691.5428005999993</v>
      </c>
      <c r="B18" s="134">
        <f ca="1">A18-(INT(A18/360))*360</f>
        <v>131.54280059999928</v>
      </c>
      <c r="C18" s="134">
        <f ca="1">357.528+0.9856003*(A10-36526)</f>
        <v>7768.2566557</v>
      </c>
      <c r="D18" s="134">
        <f ca="1">C18-(INT(C18/360))*360</f>
        <v>208.25665570000001</v>
      </c>
      <c r="E18" s="134">
        <f ca="1">B18+1.915*SIN(D18*PI()/180)+0.02*SIN(D18*PI()/90)</f>
        <v>130.65287776653611</v>
      </c>
      <c r="F18" s="134">
        <f ca="1">TAN((23.439-0.0000004*(A10-36526))*PI()/360)</f>
        <v>0.20741762896940094</v>
      </c>
      <c r="G18" s="134">
        <f ca="1">E18-(POWER(F18,2))*(SIN(E18*PI()/90))*180/PI()+(POWER(F18,4))*(SIN(E18*PI()/45))*90/PI()</f>
        <v>133.10538230663315</v>
      </c>
      <c r="H18" s="135"/>
      <c r="J18" s="345" t="s">
        <v>280</v>
      </c>
      <c r="K18" s="344">
        <f>K5-K4+K7-K6+K9-K8+K11-K10+K13-K12+K15-K14+K17-K16</f>
        <v>1475</v>
      </c>
      <c r="L18" s="346" t="s">
        <v>282</v>
      </c>
      <c r="N18" s="363">
        <f>S4/12</f>
        <v>676.15749999999991</v>
      </c>
      <c r="O18" s="204">
        <f>S5/12</f>
        <v>7438.583333333333</v>
      </c>
      <c r="Q18" s="259" t="s">
        <v>521</v>
      </c>
      <c r="R18" s="261"/>
      <c r="S18" s="260">
        <v>10000000</v>
      </c>
      <c r="U18" s="305">
        <f>(U16+U17)/2</f>
        <v>1445</v>
      </c>
    </row>
    <row r="19" spans="1:22" x14ac:dyDescent="0.2">
      <c r="A19" s="129"/>
      <c r="B19" s="129"/>
      <c r="C19" s="129"/>
      <c r="D19" s="129"/>
      <c r="E19" s="129"/>
      <c r="F19" s="129"/>
      <c r="G19" s="129"/>
      <c r="H19" s="27"/>
      <c r="J19" s="364"/>
      <c r="K19" s="365"/>
      <c r="L19" s="364"/>
      <c r="N19" s="202"/>
      <c r="O19" s="202"/>
      <c r="Q19" s="282" t="s">
        <v>522</v>
      </c>
      <c r="R19" s="283"/>
      <c r="S19" s="284" t="s">
        <v>579</v>
      </c>
    </row>
    <row r="20" spans="1:22" ht="15.75" x14ac:dyDescent="0.25">
      <c r="U20" s="306" t="s">
        <v>817</v>
      </c>
    </row>
    <row r="21" spans="1:22" ht="15.75" x14ac:dyDescent="0.25">
      <c r="A21" s="442" t="s">
        <v>444</v>
      </c>
      <c r="B21" s="443"/>
      <c r="C21" s="443"/>
      <c r="D21" s="443"/>
      <c r="E21" s="443"/>
      <c r="F21" s="443"/>
      <c r="G21" s="443"/>
      <c r="H21" s="444"/>
      <c r="J21" s="442" t="s">
        <v>565</v>
      </c>
      <c r="K21" s="443"/>
      <c r="L21" s="443"/>
      <c r="M21" s="443"/>
      <c r="N21" s="443"/>
      <c r="O21" s="444"/>
      <c r="Q21" s="442" t="s">
        <v>376</v>
      </c>
      <c r="R21" s="443"/>
      <c r="S21" s="444"/>
      <c r="U21" s="310">
        <v>3.06</v>
      </c>
    </row>
    <row r="22" spans="1:22" x14ac:dyDescent="0.2">
      <c r="A22" s="136"/>
      <c r="B22" s="137"/>
      <c r="C22" s="138"/>
      <c r="D22" s="130" t="s">
        <v>238</v>
      </c>
      <c r="E22" s="137">
        <v>4.1666666666666664E-2</v>
      </c>
      <c r="F22" s="27"/>
      <c r="G22" s="27"/>
      <c r="H22" s="123"/>
      <c r="J22" s="114" t="s">
        <v>296</v>
      </c>
      <c r="K22" s="209" t="s">
        <v>955</v>
      </c>
      <c r="L22" s="208" t="s">
        <v>297</v>
      </c>
      <c r="M22" s="208" t="s">
        <v>298</v>
      </c>
      <c r="N22" s="208" t="s">
        <v>396</v>
      </c>
      <c r="O22" s="167" t="s">
        <v>760</v>
      </c>
      <c r="Q22" s="190" t="s">
        <v>374</v>
      </c>
      <c r="R22" s="191" t="s">
        <v>375</v>
      </c>
      <c r="S22" s="192" t="s">
        <v>311</v>
      </c>
      <c r="U22" s="310">
        <v>1.54</v>
      </c>
    </row>
    <row r="23" spans="1:22" x14ac:dyDescent="0.2">
      <c r="A23" s="328" t="s">
        <v>0</v>
      </c>
      <c r="B23" s="330" t="s">
        <v>239</v>
      </c>
      <c r="C23" s="288" t="s">
        <v>242</v>
      </c>
      <c r="D23" s="130" t="s">
        <v>244</v>
      </c>
      <c r="E23" s="137" t="s">
        <v>240</v>
      </c>
      <c r="F23" s="27" t="s">
        <v>785</v>
      </c>
      <c r="G23" s="27" t="s">
        <v>786</v>
      </c>
      <c r="H23" s="123"/>
      <c r="J23" s="168">
        <v>1</v>
      </c>
      <c r="K23" s="27" t="s">
        <v>94</v>
      </c>
      <c r="L23" s="161">
        <v>0.34027777777777773</v>
      </c>
      <c r="M23" s="161">
        <v>0.70833333333333337</v>
      </c>
      <c r="N23" s="161">
        <f>M23-L23</f>
        <v>0.36805555555555564</v>
      </c>
      <c r="O23" s="123" t="s">
        <v>299</v>
      </c>
      <c r="Q23" s="131"/>
      <c r="R23" s="132"/>
      <c r="S23" s="193"/>
      <c r="U23" s="281">
        <f>U21-U22</f>
        <v>1.52</v>
      </c>
    </row>
    <row r="24" spans="1:22" x14ac:dyDescent="0.2">
      <c r="A24" s="328">
        <v>4.6180555555555558E-2</v>
      </c>
      <c r="B24" s="170">
        <v>15</v>
      </c>
      <c r="C24" s="288">
        <f>B24*E22/A24</f>
        <v>13.533834586466165</v>
      </c>
      <c r="D24" s="130">
        <v>80</v>
      </c>
      <c r="E24" s="137">
        <f>B24/D24*E22</f>
        <v>7.8125E-3</v>
      </c>
      <c r="F24" s="170">
        <v>20</v>
      </c>
      <c r="G24" s="137">
        <f>(A24*F24)/B24</f>
        <v>6.157407407407408E-2</v>
      </c>
      <c r="H24" s="123"/>
      <c r="J24" s="168">
        <v>2</v>
      </c>
      <c r="K24" s="27" t="s">
        <v>97</v>
      </c>
      <c r="L24" s="161">
        <v>0.30902777777777779</v>
      </c>
      <c r="M24" s="161">
        <v>0.74652777777777779</v>
      </c>
      <c r="N24" s="161">
        <f t="shared" ref="N24:N34" si="0">M24-L24</f>
        <v>0.4375</v>
      </c>
      <c r="O24" s="123" t="s">
        <v>299</v>
      </c>
      <c r="Q24" s="194">
        <f ca="1">TODAY()</f>
        <v>44045</v>
      </c>
      <c r="R24" s="195">
        <v>40350</v>
      </c>
      <c r="S24" s="196">
        <f ca="1">R24+(R24-Q24)</f>
        <v>36655</v>
      </c>
    </row>
    <row r="25" spans="1:22" ht="15.75" x14ac:dyDescent="0.25">
      <c r="A25" s="328">
        <v>0.19583333333333333</v>
      </c>
      <c r="B25" s="170">
        <v>501</v>
      </c>
      <c r="C25" s="288">
        <f>B25*E22/A25</f>
        <v>106.59574468085107</v>
      </c>
      <c r="D25" s="130">
        <v>80</v>
      </c>
      <c r="E25" s="137">
        <f>B25/D25*E22</f>
        <v>0.26093749999999999</v>
      </c>
      <c r="F25" s="170">
        <v>0</v>
      </c>
      <c r="G25" s="137">
        <f t="shared" ref="G25:G27" si="1">(A25*F25)/B25</f>
        <v>0</v>
      </c>
      <c r="H25" s="123"/>
      <c r="J25" s="168">
        <v>3</v>
      </c>
      <c r="K25" s="27" t="s">
        <v>98</v>
      </c>
      <c r="L25" s="161">
        <v>0.2673611111111111</v>
      </c>
      <c r="M25" s="161">
        <v>0.77777777777777779</v>
      </c>
      <c r="N25" s="161">
        <f t="shared" si="0"/>
        <v>0.51041666666666674</v>
      </c>
      <c r="O25" s="123" t="s">
        <v>299</v>
      </c>
      <c r="U25" s="306" t="s">
        <v>608</v>
      </c>
    </row>
    <row r="26" spans="1:22" ht="15.75" x14ac:dyDescent="0.25">
      <c r="A26" s="328">
        <v>0.28819444444444448</v>
      </c>
      <c r="B26" s="170">
        <v>526</v>
      </c>
      <c r="C26" s="288">
        <f>B26*E22/A26</f>
        <v>76.048192771084317</v>
      </c>
      <c r="D26" s="130">
        <v>80</v>
      </c>
      <c r="E26" s="137">
        <f>B26/D26*E22</f>
        <v>0.2739583333333333</v>
      </c>
      <c r="F26" s="170">
        <v>0</v>
      </c>
      <c r="G26" s="137">
        <f t="shared" si="1"/>
        <v>0</v>
      </c>
      <c r="H26" s="123"/>
      <c r="J26" s="168">
        <v>4</v>
      </c>
      <c r="K26" s="27" t="s">
        <v>99</v>
      </c>
      <c r="L26" s="161">
        <v>0.2638888888888889</v>
      </c>
      <c r="M26" s="161">
        <v>0.85416666666666663</v>
      </c>
      <c r="N26" s="161">
        <f t="shared" si="0"/>
        <v>0.59027777777777768</v>
      </c>
      <c r="O26" s="123" t="s">
        <v>300</v>
      </c>
      <c r="Q26" s="442" t="s">
        <v>538</v>
      </c>
      <c r="R26" s="443"/>
      <c r="S26" s="444"/>
      <c r="U26" s="310">
        <v>12</v>
      </c>
    </row>
    <row r="27" spans="1:22" x14ac:dyDescent="0.2">
      <c r="A27" s="329">
        <v>3.4374999999999996E-2</v>
      </c>
      <c r="B27" s="174">
        <v>20</v>
      </c>
      <c r="C27" s="290">
        <f>B27*E22/A27</f>
        <v>24.242424242424242</v>
      </c>
      <c r="D27" s="142">
        <v>80</v>
      </c>
      <c r="E27" s="140">
        <f>B27/D27*E22</f>
        <v>1.0416666666666666E-2</v>
      </c>
      <c r="F27" s="174">
        <v>0</v>
      </c>
      <c r="G27" s="137">
        <f t="shared" si="1"/>
        <v>0</v>
      </c>
      <c r="H27" s="135"/>
      <c r="J27" s="168">
        <v>5</v>
      </c>
      <c r="K27" s="27" t="s">
        <v>100</v>
      </c>
      <c r="L27" s="161">
        <v>0.22916666666666666</v>
      </c>
      <c r="M27" s="161">
        <v>0.88541666666666663</v>
      </c>
      <c r="N27" s="161">
        <f t="shared" si="0"/>
        <v>0.65625</v>
      </c>
      <c r="O27" s="123" t="s">
        <v>300</v>
      </c>
      <c r="Q27" s="199" t="s">
        <v>243</v>
      </c>
      <c r="R27" s="128" t="s">
        <v>2</v>
      </c>
      <c r="S27" s="269" t="s">
        <v>534</v>
      </c>
      <c r="U27" s="310">
        <v>12.3</v>
      </c>
    </row>
    <row r="28" spans="1:22" ht="15" x14ac:dyDescent="0.25">
      <c r="A28" s="285" t="s">
        <v>239</v>
      </c>
      <c r="B28" s="289" t="s">
        <v>242</v>
      </c>
      <c r="C28" s="292" t="s">
        <v>0</v>
      </c>
      <c r="D28" s="287"/>
      <c r="E28" s="286" t="s">
        <v>0</v>
      </c>
      <c r="F28" s="279" t="s">
        <v>242</v>
      </c>
      <c r="G28" s="279" t="s">
        <v>239</v>
      </c>
      <c r="H28" s="280"/>
      <c r="J28" s="168">
        <v>6</v>
      </c>
      <c r="K28" s="27" t="s">
        <v>101</v>
      </c>
      <c r="L28" s="161">
        <v>0.21875</v>
      </c>
      <c r="M28" s="161">
        <v>0.90277777777777779</v>
      </c>
      <c r="N28" s="161">
        <f t="shared" si="0"/>
        <v>0.68402777777777779</v>
      </c>
      <c r="O28" s="123" t="s">
        <v>300</v>
      </c>
      <c r="Q28" s="275">
        <v>3.4</v>
      </c>
      <c r="R28" s="276">
        <v>230</v>
      </c>
      <c r="S28" s="277">
        <f>R28/(Q28*1000)</f>
        <v>6.7647058823529407E-2</v>
      </c>
      <c r="U28" s="281">
        <f>(U26+U27)/2</f>
        <v>12.15</v>
      </c>
    </row>
    <row r="29" spans="1:22" x14ac:dyDescent="0.2">
      <c r="A29" s="152">
        <v>50.4</v>
      </c>
      <c r="B29" s="288">
        <v>23</v>
      </c>
      <c r="C29" s="291">
        <f>(A29/B29)*E22</f>
        <v>9.1304347826086943E-2</v>
      </c>
      <c r="D29" s="130"/>
      <c r="E29" s="137">
        <v>0.15277777777777776</v>
      </c>
      <c r="F29" s="138">
        <v>11.5</v>
      </c>
      <c r="G29" s="170">
        <v>42</v>
      </c>
      <c r="H29" s="123"/>
      <c r="J29" s="168">
        <v>7</v>
      </c>
      <c r="K29" s="27" t="s">
        <v>102</v>
      </c>
      <c r="L29" s="161">
        <v>0.23611111111111113</v>
      </c>
      <c r="M29" s="161">
        <v>0.89236111111111116</v>
      </c>
      <c r="N29" s="161">
        <f t="shared" si="0"/>
        <v>0.65625</v>
      </c>
      <c r="O29" s="123" t="s">
        <v>300</v>
      </c>
      <c r="Q29" s="272">
        <v>14.7</v>
      </c>
      <c r="R29" s="24" t="s">
        <v>537</v>
      </c>
      <c r="S29" s="273">
        <v>7.2999999999999995E-2</v>
      </c>
    </row>
    <row r="30" spans="1:22" ht="15.75" x14ac:dyDescent="0.25">
      <c r="A30" s="153">
        <v>25.6</v>
      </c>
      <c r="B30" s="290">
        <v>12</v>
      </c>
      <c r="C30" s="293">
        <f>(A30/B30)*E22</f>
        <v>8.8888888888888878E-2</v>
      </c>
      <c r="D30" s="141"/>
      <c r="E30" s="140">
        <v>0.125</v>
      </c>
      <c r="F30" s="139">
        <v>6</v>
      </c>
      <c r="G30" s="174">
        <f>F30*E30/E22</f>
        <v>18</v>
      </c>
      <c r="H30" s="135"/>
      <c r="J30" s="168">
        <v>8</v>
      </c>
      <c r="K30" s="27" t="s">
        <v>103</v>
      </c>
      <c r="L30" s="161">
        <v>0.2673611111111111</v>
      </c>
      <c r="M30" s="161">
        <v>0.85416666666666663</v>
      </c>
      <c r="N30" s="161">
        <f t="shared" si="0"/>
        <v>0.58680555555555558</v>
      </c>
      <c r="O30" s="123" t="s">
        <v>300</v>
      </c>
      <c r="Q30" s="272">
        <v>12</v>
      </c>
      <c r="R30" s="24">
        <v>1</v>
      </c>
      <c r="S30" s="273">
        <v>6.7000000000000004E-2</v>
      </c>
      <c r="U30" s="306" t="s">
        <v>646</v>
      </c>
    </row>
    <row r="31" spans="1:22" x14ac:dyDescent="0.2">
      <c r="A31" s="170"/>
      <c r="B31" s="138"/>
      <c r="C31" s="137"/>
      <c r="D31" s="27"/>
      <c r="E31" s="27"/>
      <c r="F31" s="27"/>
      <c r="G31" s="27"/>
      <c r="H31" s="27"/>
      <c r="J31" s="168">
        <v>9</v>
      </c>
      <c r="K31" s="27" t="s">
        <v>104</v>
      </c>
      <c r="L31" s="161">
        <v>0.2986111111111111</v>
      </c>
      <c r="M31" s="161">
        <v>0.80902777777777779</v>
      </c>
      <c r="N31" s="161">
        <f t="shared" si="0"/>
        <v>0.51041666666666674</v>
      </c>
      <c r="O31" s="123" t="s">
        <v>300</v>
      </c>
      <c r="Q31" s="272">
        <v>9.1999999999999993</v>
      </c>
      <c r="R31" s="24">
        <v>2</v>
      </c>
      <c r="S31" s="273">
        <v>5.2999999999999999E-2</v>
      </c>
      <c r="U31" s="318">
        <v>43793</v>
      </c>
      <c r="V31" s="198" t="s">
        <v>954</v>
      </c>
    </row>
    <row r="32" spans="1:22" ht="15.75" x14ac:dyDescent="0.25">
      <c r="A32" s="442" t="s">
        <v>539</v>
      </c>
      <c r="B32" s="443"/>
      <c r="C32" s="443"/>
      <c r="D32" s="443"/>
      <c r="E32" s="443"/>
      <c r="F32" s="443"/>
      <c r="G32" s="443"/>
      <c r="H32" s="444"/>
      <c r="J32" s="168">
        <v>10</v>
      </c>
      <c r="K32" s="27" t="s">
        <v>105</v>
      </c>
      <c r="L32" s="161">
        <v>0.3298611111111111</v>
      </c>
      <c r="M32" s="161">
        <v>0.76388888888888884</v>
      </c>
      <c r="N32" s="161">
        <f t="shared" si="0"/>
        <v>0.43402777777777773</v>
      </c>
      <c r="O32" s="123" t="s">
        <v>300</v>
      </c>
      <c r="Q32" s="272">
        <v>3.2</v>
      </c>
      <c r="R32" s="24">
        <v>3</v>
      </c>
      <c r="S32" s="273">
        <v>5.0999999999999997E-2</v>
      </c>
      <c r="U32" s="319">
        <v>43919</v>
      </c>
      <c r="V32" s="391">
        <f>DATE(YEAR(U32),MONTH(U32)+8,DAY(U32))</f>
        <v>44164</v>
      </c>
    </row>
    <row r="33" spans="1:21" x14ac:dyDescent="0.2">
      <c r="A33" s="199" t="s">
        <v>0</v>
      </c>
      <c r="B33" s="453">
        <f>(F33/'09'!C39)*'09'!D39</f>
        <v>8.1527777777777768</v>
      </c>
      <c r="C33" s="453"/>
      <c r="D33" s="453"/>
      <c r="E33" s="128" t="s">
        <v>243</v>
      </c>
      <c r="F33" s="294">
        <f>'09'!AV35+'10'!AV35+'11'!AV35+'12'!AV35+'13'!AV35+'14'!AV35+'15'!AV35+'16'!AV35+'17'!AV35+'18'!AV35</f>
        <v>4696</v>
      </c>
      <c r="G33" s="62" t="s">
        <v>242</v>
      </c>
      <c r="H33" s="295">
        <f>'09'!C39</f>
        <v>24</v>
      </c>
      <c r="J33" s="168">
        <v>11</v>
      </c>
      <c r="K33" s="27" t="s">
        <v>106</v>
      </c>
      <c r="L33" s="161">
        <v>0.3263888888888889</v>
      </c>
      <c r="M33" s="161">
        <v>0.69097222222222221</v>
      </c>
      <c r="N33" s="161">
        <f t="shared" si="0"/>
        <v>0.36458333333333331</v>
      </c>
      <c r="O33" s="123" t="s">
        <v>299</v>
      </c>
      <c r="Q33" s="272">
        <v>1</v>
      </c>
      <c r="R33" s="24">
        <v>4</v>
      </c>
      <c r="S33" s="273">
        <v>4.2000000000000003E-2</v>
      </c>
      <c r="U33" s="381"/>
    </row>
    <row r="34" spans="1:21" ht="15.75" x14ac:dyDescent="0.25">
      <c r="A34" s="296" t="s">
        <v>582</v>
      </c>
      <c r="B34" s="297"/>
      <c r="C34" s="297"/>
      <c r="D34" s="297">
        <v>886</v>
      </c>
      <c r="E34" s="298" t="s">
        <v>243</v>
      </c>
      <c r="F34" s="298" t="s">
        <v>581</v>
      </c>
      <c r="G34" s="299">
        <f>F33/D34</f>
        <v>5.3002257336343117</v>
      </c>
      <c r="H34" s="300" t="s">
        <v>580</v>
      </c>
      <c r="J34" s="169">
        <v>12</v>
      </c>
      <c r="K34" s="141" t="s">
        <v>107</v>
      </c>
      <c r="L34" s="162">
        <v>0.34722222222222227</v>
      </c>
      <c r="M34" s="162">
        <v>0.68402777777777779</v>
      </c>
      <c r="N34" s="162">
        <f t="shared" si="0"/>
        <v>0.33680555555555552</v>
      </c>
      <c r="O34" s="135" t="s">
        <v>299</v>
      </c>
      <c r="Q34" s="450"/>
      <c r="R34" s="451"/>
      <c r="S34" s="452"/>
      <c r="U34" s="306" t="s">
        <v>824</v>
      </c>
    </row>
    <row r="35" spans="1:21" x14ac:dyDescent="0.2">
      <c r="U35" s="310">
        <v>0.5</v>
      </c>
    </row>
    <row r="36" spans="1:21" ht="15.75" x14ac:dyDescent="0.25">
      <c r="A36" s="442" t="s">
        <v>751</v>
      </c>
      <c r="B36" s="443"/>
      <c r="C36" s="443"/>
      <c r="D36" s="443"/>
      <c r="E36" s="443"/>
      <c r="F36" s="443"/>
      <c r="G36" s="443"/>
      <c r="H36" s="444"/>
      <c r="J36" s="442" t="s">
        <v>847</v>
      </c>
      <c r="K36" s="443"/>
      <c r="L36" s="443"/>
      <c r="M36" s="444"/>
      <c r="U36" s="310">
        <v>10</v>
      </c>
    </row>
    <row r="37" spans="1:21" ht="15" x14ac:dyDescent="0.25">
      <c r="A37" s="199" t="s">
        <v>750</v>
      </c>
      <c r="B37" s="27"/>
      <c r="C37" s="27"/>
      <c r="D37" s="27"/>
      <c r="E37" s="27"/>
      <c r="F37" s="27"/>
      <c r="G37" s="27">
        <v>29.530588999999999</v>
      </c>
      <c r="H37" s="247" t="s">
        <v>752</v>
      </c>
      <c r="J37" s="114" t="s">
        <v>243</v>
      </c>
      <c r="K37" s="128" t="s">
        <v>845</v>
      </c>
      <c r="L37" s="128" t="s">
        <v>846</v>
      </c>
      <c r="M37" s="269" t="s">
        <v>22</v>
      </c>
      <c r="U37" s="382">
        <v>18.100000000000001</v>
      </c>
    </row>
    <row r="38" spans="1:21" x14ac:dyDescent="0.2">
      <c r="A38" s="114"/>
      <c r="B38" s="27"/>
      <c r="C38" s="27"/>
      <c r="D38" s="27"/>
      <c r="E38" s="27"/>
      <c r="F38" s="27"/>
      <c r="G38" s="27"/>
      <c r="H38" s="123"/>
      <c r="J38" s="152">
        <v>1.5</v>
      </c>
      <c r="K38" s="130">
        <v>1171</v>
      </c>
      <c r="L38" s="130">
        <v>1380</v>
      </c>
      <c r="M38" s="273">
        <f>IFERROR((L38-K38)/(J38*1000),0)</f>
        <v>0.13933333333333334</v>
      </c>
      <c r="U38" s="310">
        <f>(U37/U36)*U35</f>
        <v>0.90500000000000003</v>
      </c>
    </row>
    <row r="39" spans="1:21" ht="15" x14ac:dyDescent="0.25">
      <c r="A39" s="114"/>
      <c r="B39" s="27"/>
      <c r="C39" s="27"/>
      <c r="D39" s="27"/>
      <c r="E39" s="27"/>
      <c r="F39" s="27"/>
      <c r="G39" s="27"/>
      <c r="H39" s="123"/>
      <c r="J39" s="152">
        <v>1.6</v>
      </c>
      <c r="K39" s="130">
        <v>1035</v>
      </c>
      <c r="L39" s="130">
        <v>1129</v>
      </c>
      <c r="M39" s="273">
        <f t="shared" ref="M39:M40" si="2">IFERROR((L39-K39)/(J39*1000),0)</f>
        <v>5.8749999999999997E-2</v>
      </c>
      <c r="U39" s="383">
        <f>U37+U38</f>
        <v>19.005000000000003</v>
      </c>
    </row>
    <row r="40" spans="1:21" x14ac:dyDescent="0.2">
      <c r="A40" s="357"/>
      <c r="B40" s="141"/>
      <c r="C40" s="141"/>
      <c r="D40" s="141"/>
      <c r="E40" s="141"/>
      <c r="F40" s="141"/>
      <c r="G40" s="141"/>
      <c r="H40" s="135"/>
      <c r="J40" s="153">
        <v>1.1000000000000001</v>
      </c>
      <c r="K40" s="142">
        <v>1616</v>
      </c>
      <c r="L40" s="142">
        <v>1745</v>
      </c>
      <c r="M40" s="390">
        <f t="shared" si="2"/>
        <v>0.11727272727272728</v>
      </c>
    </row>
  </sheetData>
  <sortState ref="A34:K47">
    <sortCondition ref="D34:D47"/>
  </sortState>
  <mergeCells count="19">
    <mergeCell ref="N16:O16"/>
    <mergeCell ref="Q10:S10"/>
    <mergeCell ref="N6:O6"/>
    <mergeCell ref="J36:M36"/>
    <mergeCell ref="A36:H36"/>
    <mergeCell ref="N10:O10"/>
    <mergeCell ref="N13:O13"/>
    <mergeCell ref="A1:U1"/>
    <mergeCell ref="Q34:S34"/>
    <mergeCell ref="A32:H32"/>
    <mergeCell ref="B33:D33"/>
    <mergeCell ref="Q26:S26"/>
    <mergeCell ref="A3:H3"/>
    <mergeCell ref="A21:H21"/>
    <mergeCell ref="J3:L3"/>
    <mergeCell ref="J21:O21"/>
    <mergeCell ref="Q21:S21"/>
    <mergeCell ref="Q3:S3"/>
    <mergeCell ref="N3:O3"/>
  </mergeCells>
  <conditionalFormatting sqref="L23:L34">
    <cfRule type="expression" dxfId="17" priority="66">
      <formula>J23=MONTH(NOW())</formula>
    </cfRule>
  </conditionalFormatting>
  <conditionalFormatting sqref="M23:M34">
    <cfRule type="expression" dxfId="16" priority="65">
      <formula>J23=MONTH(NOW())</formula>
    </cfRule>
  </conditionalFormatting>
  <conditionalFormatting sqref="N23:N34">
    <cfRule type="cellIs" dxfId="15" priority="34" operator="greaterThan">
      <formula>0.5</formula>
    </cfRule>
    <cfRule type="expression" dxfId="14" priority="35">
      <formula>J23=MONTH(NOW())</formula>
    </cfRule>
  </conditionalFormatting>
  <conditionalFormatting sqref="Q14:S14">
    <cfRule type="expression" dxfId="13" priority="28">
      <formula>AND($S$14&gt;=$S$13,$S$13&lt;50000)</formula>
    </cfRule>
  </conditionalFormatting>
  <conditionalFormatting sqref="Q15:S15">
    <cfRule type="expression" dxfId="12" priority="27">
      <formula>AND($S$15&gt;=$S$13,$S$13&lt;80000)</formula>
    </cfRule>
  </conditionalFormatting>
  <conditionalFormatting sqref="Q16:S16">
    <cfRule type="expression" dxfId="11" priority="26">
      <formula>AND($S$15&lt;$S$13,$S$16&gt;=$S$13)</formula>
    </cfRule>
  </conditionalFormatting>
  <conditionalFormatting sqref="Q17:S17">
    <cfRule type="expression" dxfId="10" priority="25">
      <formula>AND($S$16&lt;$S$13,$S$18&lt;$S$13)</formula>
    </cfRule>
  </conditionalFormatting>
  <conditionalFormatting sqref="Q18:S18">
    <cfRule type="expression" dxfId="9" priority="23">
      <formula>AND($S$17&lt;$S$13,10000000&gt;$S$13)</formula>
    </cfRule>
  </conditionalFormatting>
  <conditionalFormatting sqref="Q19:S19">
    <cfRule type="expression" dxfId="8" priority="22">
      <formula>$S$13&gt;=10000000</formula>
    </cfRule>
  </conditionalFormatting>
  <conditionalFormatting sqref="S12">
    <cfRule type="cellIs" dxfId="7" priority="19" stopIfTrue="1" operator="between">
      <formula>0</formula>
      <formula>0.999999</formula>
    </cfRule>
    <cfRule type="cellIs" dxfId="6" priority="20" stopIfTrue="1" operator="between">
      <formula>1</formula>
      <formula>1.999999</formula>
    </cfRule>
    <cfRule type="cellIs" dxfId="5" priority="21" stopIfTrue="1" operator="between">
      <formula>2</formula>
      <formula>9999.99</formula>
    </cfRule>
  </conditionalFormatting>
  <conditionalFormatting sqref="F4">
    <cfRule type="expression" dxfId="4" priority="8">
      <formula>AND(MONTH(NOW())&gt;3,MONTH(NOW())&lt;11)</formula>
    </cfRule>
  </conditionalFormatting>
  <conditionalFormatting sqref="D4">
    <cfRule type="expression" dxfId="3" priority="7">
      <formula>"ODER(MONAT(JETZT())&lt;4;MONAT(JETZT())&gt;10)"</formula>
    </cfRule>
  </conditionalFormatting>
  <conditionalFormatting sqref="U32:U33">
    <cfRule type="expression" dxfId="2" priority="1">
      <formula>#REF!&lt; TODAY()</formula>
    </cfRule>
  </conditionalFormatting>
  <conditionalFormatting sqref="A13 E4">
    <cfRule type="expression" dxfId="1" priority="660">
      <formula>AND($U$31&lt;=NOW(),$U$32&gt;=NOW())</formula>
    </cfRule>
  </conditionalFormatting>
  <conditionalFormatting sqref="A14 G4">
    <cfRule type="expression" dxfId="0" priority="662">
      <formula>NOT(AND($U$31&lt;=NOW(),$U$32&gt;=NOW()))</formula>
    </cfRule>
  </conditionalFormatting>
  <hyperlinks>
    <hyperlink ref="E5" r:id="rId1" tooltip="Normalstartpunkt für Touren ohne Anfahrt"/>
    <hyperlink ref="O22" r:id="rId2"/>
  </hyperlinks>
  <pageMargins left="0.7" right="0.7" top="0.78740157499999996" bottom="0.78740157499999996" header="0.3" footer="0.3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79998168889431442"/>
  </sheetPr>
  <dimension ref="A1:W48"/>
  <sheetViews>
    <sheetView workbookViewId="0">
      <selection activeCell="V33" sqref="V33:W33"/>
    </sheetView>
  </sheetViews>
  <sheetFormatPr baseColWidth="10" defaultRowHeight="12.75" x14ac:dyDescent="0.2"/>
  <cols>
    <col min="1" max="1" width="24.85546875" bestFit="1" customWidth="1"/>
    <col min="2" max="2" width="6.28515625" bestFit="1" customWidth="1"/>
    <col min="3" max="3" width="4" bestFit="1" customWidth="1"/>
    <col min="4" max="4" width="5.5703125" bestFit="1" customWidth="1"/>
    <col min="5" max="5" width="18.28515625" bestFit="1" customWidth="1"/>
    <col min="6" max="6" width="5.5703125" bestFit="1" customWidth="1"/>
    <col min="7" max="7" width="7.140625" bestFit="1" customWidth="1"/>
    <col min="8" max="8" width="5.5703125" bestFit="1" customWidth="1"/>
    <col min="9" max="9" width="19.85546875" bestFit="1" customWidth="1"/>
    <col min="10" max="10" width="5.5703125" bestFit="1" customWidth="1"/>
    <col min="11" max="11" width="4" bestFit="1" customWidth="1"/>
    <col min="12" max="12" width="5.5703125" bestFit="1" customWidth="1"/>
    <col min="13" max="13" width="18.7109375" bestFit="1" customWidth="1"/>
    <col min="14" max="14" width="4.5703125" bestFit="1" customWidth="1"/>
    <col min="15" max="15" width="5.140625" bestFit="1" customWidth="1"/>
    <col min="16" max="16" width="7.140625" bestFit="1" customWidth="1"/>
    <col min="17" max="17" width="9.5703125" bestFit="1" customWidth="1"/>
    <col min="18" max="18" width="6.85546875" bestFit="1" customWidth="1"/>
    <col min="19" max="19" width="5.7109375" bestFit="1" customWidth="1"/>
    <col min="20" max="20" width="6.85546875" bestFit="1" customWidth="1"/>
    <col min="21" max="21" width="4" bestFit="1" customWidth="1"/>
    <col min="22" max="22" width="8.5703125" bestFit="1" customWidth="1"/>
    <col min="23" max="23" width="5.5703125" bestFit="1" customWidth="1"/>
  </cols>
  <sheetData>
    <row r="1" spans="1:23" x14ac:dyDescent="0.2">
      <c r="A1" s="460" t="s">
        <v>512</v>
      </c>
      <c r="B1" s="461"/>
      <c r="C1" s="461"/>
      <c r="D1" s="461"/>
      <c r="E1" s="461"/>
      <c r="F1" s="461"/>
      <c r="G1" s="461"/>
      <c r="H1" s="461"/>
      <c r="I1" s="461"/>
      <c r="J1" s="461"/>
      <c r="K1" s="461"/>
      <c r="L1" s="461"/>
      <c r="M1" s="461"/>
      <c r="N1" s="461"/>
      <c r="O1" s="461"/>
      <c r="P1" s="461"/>
      <c r="Q1" s="461"/>
      <c r="R1" s="461"/>
      <c r="S1" s="461"/>
      <c r="T1" s="461"/>
      <c r="U1" s="461"/>
      <c r="V1" s="461"/>
      <c r="W1" s="461"/>
    </row>
    <row r="3" spans="1:23" s="50" customFormat="1" x14ac:dyDescent="0.2">
      <c r="A3" s="341" t="s">
        <v>292</v>
      </c>
      <c r="B3" s="337" t="s">
        <v>854</v>
      </c>
      <c r="C3" s="338"/>
      <c r="D3" s="337" t="s">
        <v>694</v>
      </c>
      <c r="E3" s="338" t="s">
        <v>695</v>
      </c>
      <c r="F3" s="337" t="s">
        <v>696</v>
      </c>
      <c r="G3" s="338" t="s">
        <v>697</v>
      </c>
      <c r="H3" s="337" t="s">
        <v>698</v>
      </c>
      <c r="I3" s="338" t="s">
        <v>699</v>
      </c>
      <c r="J3" s="337" t="s">
        <v>693</v>
      </c>
      <c r="K3" s="338"/>
      <c r="L3" s="337" t="s">
        <v>803</v>
      </c>
      <c r="M3" s="338" t="s">
        <v>804</v>
      </c>
      <c r="N3" s="337" t="s">
        <v>700</v>
      </c>
      <c r="O3" s="338" t="s">
        <v>701</v>
      </c>
      <c r="P3" s="337" t="s">
        <v>610</v>
      </c>
      <c r="Q3" s="338" t="s">
        <v>707</v>
      </c>
      <c r="R3" s="337" t="s">
        <v>53</v>
      </c>
      <c r="S3" s="339"/>
      <c r="T3" s="337" t="s">
        <v>717</v>
      </c>
      <c r="U3" s="339" t="s">
        <v>718</v>
      </c>
      <c r="V3" s="337" t="s">
        <v>871</v>
      </c>
      <c r="W3" s="339"/>
    </row>
    <row r="4" spans="1:23" x14ac:dyDescent="0.2">
      <c r="A4" s="342" t="s">
        <v>705</v>
      </c>
      <c r="B4" s="333">
        <v>2.6</v>
      </c>
      <c r="C4" s="334">
        <v>70</v>
      </c>
      <c r="D4" s="333">
        <v>3.35</v>
      </c>
      <c r="E4" s="334">
        <v>20</v>
      </c>
      <c r="F4" s="333">
        <v>0.7</v>
      </c>
      <c r="G4" s="334">
        <v>30</v>
      </c>
      <c r="H4" s="333">
        <v>1.06</v>
      </c>
      <c r="I4" s="334">
        <v>65</v>
      </c>
      <c r="J4" s="333">
        <v>2.9</v>
      </c>
      <c r="K4" s="334">
        <v>15</v>
      </c>
      <c r="L4" s="333">
        <v>2</v>
      </c>
      <c r="M4" s="334">
        <v>3</v>
      </c>
      <c r="N4" s="333">
        <v>0.56999999999999995</v>
      </c>
      <c r="O4" s="334">
        <v>5</v>
      </c>
      <c r="P4" s="333">
        <v>1.87</v>
      </c>
      <c r="Q4" s="334">
        <v>25</v>
      </c>
      <c r="R4" s="333">
        <v>5.3</v>
      </c>
      <c r="S4" s="335">
        <v>67</v>
      </c>
      <c r="T4" s="333">
        <v>4.12</v>
      </c>
      <c r="U4" s="334">
        <v>25</v>
      </c>
      <c r="V4" s="333">
        <v>2.15</v>
      </c>
      <c r="W4" s="334">
        <v>5</v>
      </c>
    </row>
    <row r="5" spans="1:23" x14ac:dyDescent="0.2">
      <c r="A5" s="323">
        <v>3</v>
      </c>
      <c r="B5" s="174">
        <f>$A$5*B4</f>
        <v>7.8000000000000007</v>
      </c>
      <c r="C5" s="249">
        <f t="shared" ref="C5:W5" si="0">$A$5*C4</f>
        <v>210</v>
      </c>
      <c r="D5" s="174">
        <f t="shared" si="0"/>
        <v>10.050000000000001</v>
      </c>
      <c r="E5" s="249">
        <f t="shared" si="0"/>
        <v>60</v>
      </c>
      <c r="F5" s="174">
        <f t="shared" si="0"/>
        <v>2.0999999999999996</v>
      </c>
      <c r="G5" s="249">
        <f t="shared" si="0"/>
        <v>90</v>
      </c>
      <c r="H5" s="174">
        <f t="shared" si="0"/>
        <v>3.18</v>
      </c>
      <c r="I5" s="249">
        <f t="shared" si="0"/>
        <v>195</v>
      </c>
      <c r="J5" s="174">
        <f t="shared" si="0"/>
        <v>8.6999999999999993</v>
      </c>
      <c r="K5" s="249">
        <f t="shared" si="0"/>
        <v>45</v>
      </c>
      <c r="L5" s="174">
        <f t="shared" si="0"/>
        <v>6</v>
      </c>
      <c r="M5" s="249">
        <f t="shared" si="0"/>
        <v>9</v>
      </c>
      <c r="N5" s="174">
        <f t="shared" si="0"/>
        <v>1.71</v>
      </c>
      <c r="O5" s="249">
        <f t="shared" si="0"/>
        <v>15</v>
      </c>
      <c r="P5" s="174">
        <f t="shared" si="0"/>
        <v>5.61</v>
      </c>
      <c r="Q5" s="249">
        <f t="shared" si="0"/>
        <v>75</v>
      </c>
      <c r="R5" s="174">
        <f t="shared" si="0"/>
        <v>15.899999999999999</v>
      </c>
      <c r="S5" s="249">
        <f t="shared" si="0"/>
        <v>201</v>
      </c>
      <c r="T5" s="174">
        <f t="shared" si="0"/>
        <v>12.36</v>
      </c>
      <c r="U5" s="249">
        <f t="shared" si="0"/>
        <v>75</v>
      </c>
      <c r="V5" s="174">
        <f t="shared" si="0"/>
        <v>6.4499999999999993</v>
      </c>
      <c r="W5" s="249">
        <f t="shared" si="0"/>
        <v>15</v>
      </c>
    </row>
    <row r="7" spans="1:23" x14ac:dyDescent="0.2">
      <c r="A7" s="258" t="s">
        <v>818</v>
      </c>
      <c r="B7" s="270" t="s">
        <v>243</v>
      </c>
      <c r="C7" s="271" t="s">
        <v>2</v>
      </c>
      <c r="E7" s="258" t="s">
        <v>620</v>
      </c>
      <c r="F7" s="379" t="s">
        <v>243</v>
      </c>
      <c r="G7" s="380" t="s">
        <v>2</v>
      </c>
      <c r="I7" s="258" t="s">
        <v>729</v>
      </c>
      <c r="J7" s="325" t="s">
        <v>243</v>
      </c>
      <c r="K7" s="326" t="s">
        <v>2</v>
      </c>
      <c r="M7" s="351" t="s">
        <v>632</v>
      </c>
      <c r="N7" s="349" t="s">
        <v>243</v>
      </c>
      <c r="O7" s="349" t="s">
        <v>2</v>
      </c>
      <c r="P7" s="349"/>
      <c r="Q7" s="350"/>
      <c r="S7" s="462" t="s">
        <v>708</v>
      </c>
      <c r="T7" s="463"/>
      <c r="U7" s="463"/>
      <c r="V7" s="463"/>
      <c r="W7" s="464"/>
    </row>
    <row r="8" spans="1:23" x14ac:dyDescent="0.2">
      <c r="A8" s="71" t="s">
        <v>838</v>
      </c>
      <c r="B8" s="170">
        <v>11.04</v>
      </c>
      <c r="C8" s="248">
        <v>50</v>
      </c>
      <c r="E8" s="71" t="s">
        <v>878</v>
      </c>
      <c r="F8" s="170">
        <v>3</v>
      </c>
      <c r="G8" s="248">
        <v>35</v>
      </c>
      <c r="H8" s="130"/>
      <c r="I8" s="71" t="s">
        <v>658</v>
      </c>
      <c r="J8" s="170">
        <v>0.61</v>
      </c>
      <c r="K8" s="248">
        <v>5</v>
      </c>
      <c r="M8" s="71" t="s">
        <v>631</v>
      </c>
      <c r="N8" s="170">
        <v>0.75</v>
      </c>
      <c r="O8" s="27">
        <v>1</v>
      </c>
      <c r="P8" s="312">
        <f t="shared" ref="P8:Q14" si="1">N8*$A$5</f>
        <v>2.25</v>
      </c>
      <c r="Q8" s="248">
        <f t="shared" si="1"/>
        <v>3</v>
      </c>
      <c r="S8" s="71" t="s">
        <v>702</v>
      </c>
      <c r="T8" s="170">
        <v>3.6</v>
      </c>
      <c r="U8" s="27">
        <v>40</v>
      </c>
      <c r="V8" s="312">
        <f t="shared" ref="V8:W14" si="2">T8*$A$5</f>
        <v>10.8</v>
      </c>
      <c r="W8" s="248">
        <f t="shared" si="2"/>
        <v>120</v>
      </c>
    </row>
    <row r="9" spans="1:23" x14ac:dyDescent="0.2">
      <c r="A9" s="71" t="s">
        <v>611</v>
      </c>
      <c r="B9" s="170">
        <v>11.2</v>
      </c>
      <c r="C9" s="248">
        <v>90</v>
      </c>
      <c r="E9" s="71" t="s">
        <v>879</v>
      </c>
      <c r="F9" s="170">
        <v>3</v>
      </c>
      <c r="G9" s="248">
        <v>37</v>
      </c>
      <c r="H9" s="130"/>
      <c r="I9" s="71" t="s">
        <v>621</v>
      </c>
      <c r="J9" s="170">
        <v>0.62</v>
      </c>
      <c r="K9" s="248">
        <v>1</v>
      </c>
      <c r="M9" s="71" t="s">
        <v>549</v>
      </c>
      <c r="N9" s="170">
        <v>1.5</v>
      </c>
      <c r="O9" s="27">
        <v>1</v>
      </c>
      <c r="P9" s="313">
        <f t="shared" si="1"/>
        <v>4.5</v>
      </c>
      <c r="Q9" s="248">
        <f t="shared" si="1"/>
        <v>3</v>
      </c>
      <c r="S9" s="71" t="s">
        <v>703</v>
      </c>
      <c r="T9" s="170">
        <v>4</v>
      </c>
      <c r="U9" s="27">
        <v>50</v>
      </c>
      <c r="V9" s="313">
        <f t="shared" si="2"/>
        <v>12</v>
      </c>
      <c r="W9" s="248">
        <f t="shared" si="2"/>
        <v>150</v>
      </c>
    </row>
    <row r="10" spans="1:23" x14ac:dyDescent="0.2">
      <c r="A10" s="71" t="s">
        <v>724</v>
      </c>
      <c r="B10" s="170">
        <v>11.3</v>
      </c>
      <c r="C10" s="248">
        <v>60</v>
      </c>
      <c r="E10" s="71" t="s">
        <v>880</v>
      </c>
      <c r="F10" s="170">
        <v>3.17</v>
      </c>
      <c r="G10" s="248">
        <v>15</v>
      </c>
      <c r="H10" s="130"/>
      <c r="I10" s="71" t="s">
        <v>509</v>
      </c>
      <c r="J10" s="170">
        <v>0.64</v>
      </c>
      <c r="K10" s="248">
        <v>5</v>
      </c>
      <c r="M10" s="71" t="s">
        <v>634</v>
      </c>
      <c r="N10" s="170">
        <v>1.88</v>
      </c>
      <c r="O10" s="27">
        <v>7</v>
      </c>
      <c r="P10" s="313">
        <f t="shared" si="1"/>
        <v>5.64</v>
      </c>
      <c r="Q10" s="248">
        <f t="shared" si="1"/>
        <v>21</v>
      </c>
      <c r="S10" s="71" t="s">
        <v>706</v>
      </c>
      <c r="T10" s="170">
        <v>7</v>
      </c>
      <c r="U10" s="27">
        <v>100</v>
      </c>
      <c r="V10" s="313">
        <f t="shared" si="2"/>
        <v>21</v>
      </c>
      <c r="W10" s="248">
        <f t="shared" si="2"/>
        <v>300</v>
      </c>
    </row>
    <row r="11" spans="1:23" x14ac:dyDescent="0.2">
      <c r="A11" s="71" t="s">
        <v>816</v>
      </c>
      <c r="B11" s="170">
        <v>11.6</v>
      </c>
      <c r="C11" s="248">
        <v>45</v>
      </c>
      <c r="E11" s="71" t="s">
        <v>511</v>
      </c>
      <c r="F11" s="170">
        <v>3.24</v>
      </c>
      <c r="G11" s="248">
        <v>18</v>
      </c>
      <c r="H11" s="130"/>
      <c r="I11" s="71" t="s">
        <v>783</v>
      </c>
      <c r="J11" s="170">
        <v>0.66</v>
      </c>
      <c r="K11" s="248">
        <v>10</v>
      </c>
      <c r="M11" s="71" t="s">
        <v>633</v>
      </c>
      <c r="N11" s="170">
        <v>3.17</v>
      </c>
      <c r="O11" s="27">
        <v>20</v>
      </c>
      <c r="P11" s="313">
        <f t="shared" si="1"/>
        <v>9.51</v>
      </c>
      <c r="Q11" s="248">
        <f t="shared" si="1"/>
        <v>60</v>
      </c>
      <c r="S11" s="71" t="s">
        <v>704</v>
      </c>
      <c r="T11" s="170">
        <v>8</v>
      </c>
      <c r="U11" s="27">
        <v>130</v>
      </c>
      <c r="V11" s="313">
        <f t="shared" si="2"/>
        <v>24</v>
      </c>
      <c r="W11" s="248">
        <f t="shared" si="2"/>
        <v>390</v>
      </c>
    </row>
    <row r="12" spans="1:23" x14ac:dyDescent="0.2">
      <c r="A12" s="71" t="s">
        <v>629</v>
      </c>
      <c r="B12" s="170">
        <v>11.6</v>
      </c>
      <c r="C12" s="248">
        <v>150</v>
      </c>
      <c r="E12" s="71" t="s">
        <v>875</v>
      </c>
      <c r="F12" s="170">
        <v>3.32</v>
      </c>
      <c r="G12" s="248">
        <v>30</v>
      </c>
      <c r="H12" s="130"/>
      <c r="I12" s="71" t="s">
        <v>578</v>
      </c>
      <c r="J12" s="170">
        <v>0.7</v>
      </c>
      <c r="K12" s="248">
        <v>5</v>
      </c>
      <c r="M12" s="71" t="s">
        <v>635</v>
      </c>
      <c r="N12" s="170">
        <v>4.21</v>
      </c>
      <c r="O12" s="27">
        <v>25</v>
      </c>
      <c r="P12" s="313">
        <f t="shared" si="1"/>
        <v>12.629999999999999</v>
      </c>
      <c r="Q12" s="248">
        <f t="shared" si="1"/>
        <v>75</v>
      </c>
      <c r="S12" s="71"/>
      <c r="T12" s="170"/>
      <c r="U12" s="27"/>
      <c r="V12" s="313">
        <f t="shared" si="2"/>
        <v>0</v>
      </c>
      <c r="W12" s="248">
        <f t="shared" si="2"/>
        <v>0</v>
      </c>
    </row>
    <row r="13" spans="1:23" x14ac:dyDescent="0.2">
      <c r="A13" s="71" t="s">
        <v>679</v>
      </c>
      <c r="B13" s="170">
        <v>12</v>
      </c>
      <c r="C13" s="248">
        <v>40</v>
      </c>
      <c r="E13" s="71" t="s">
        <v>894</v>
      </c>
      <c r="F13" s="170">
        <v>3.5</v>
      </c>
      <c r="G13" s="248">
        <v>65</v>
      </c>
      <c r="H13" s="130"/>
      <c r="I13" s="71" t="s">
        <v>789</v>
      </c>
      <c r="J13" s="170">
        <v>0.7</v>
      </c>
      <c r="K13" s="248">
        <v>20</v>
      </c>
      <c r="M13" s="71" t="s">
        <v>737</v>
      </c>
      <c r="N13" s="170">
        <v>4.7699999999999996</v>
      </c>
      <c r="O13" s="27">
        <v>45</v>
      </c>
      <c r="P13" s="313">
        <f t="shared" si="1"/>
        <v>14.309999999999999</v>
      </c>
      <c r="Q13" s="248">
        <f t="shared" si="1"/>
        <v>135</v>
      </c>
      <c r="S13" s="71"/>
      <c r="T13" s="170"/>
      <c r="U13" s="27"/>
      <c r="V13" s="313">
        <f t="shared" si="2"/>
        <v>0</v>
      </c>
      <c r="W13" s="248">
        <f t="shared" si="2"/>
        <v>0</v>
      </c>
    </row>
    <row r="14" spans="1:23" x14ac:dyDescent="0.2">
      <c r="A14" s="71" t="s">
        <v>627</v>
      </c>
      <c r="B14" s="170">
        <v>12.2</v>
      </c>
      <c r="C14" s="248">
        <v>85</v>
      </c>
      <c r="E14" s="71" t="s">
        <v>876</v>
      </c>
      <c r="F14" s="170">
        <v>3.8</v>
      </c>
      <c r="G14" s="248">
        <v>4</v>
      </c>
      <c r="H14" s="130"/>
      <c r="I14" s="71" t="s">
        <v>788</v>
      </c>
      <c r="J14" s="170">
        <v>0.73</v>
      </c>
      <c r="K14" s="248">
        <v>3</v>
      </c>
      <c r="M14" s="343" t="s">
        <v>654</v>
      </c>
      <c r="N14" s="174">
        <v>6.25</v>
      </c>
      <c r="O14" s="315">
        <v>40</v>
      </c>
      <c r="P14" s="314">
        <f t="shared" si="1"/>
        <v>18.75</v>
      </c>
      <c r="Q14" s="249">
        <f t="shared" si="1"/>
        <v>120</v>
      </c>
      <c r="S14" s="343"/>
      <c r="T14" s="174"/>
      <c r="U14" s="315"/>
      <c r="V14" s="314">
        <f t="shared" si="2"/>
        <v>0</v>
      </c>
      <c r="W14" s="249">
        <f t="shared" si="2"/>
        <v>0</v>
      </c>
    </row>
    <row r="15" spans="1:23" x14ac:dyDescent="0.2">
      <c r="A15" s="71" t="s">
        <v>561</v>
      </c>
      <c r="B15" s="170">
        <v>12.75</v>
      </c>
      <c r="C15" s="248">
        <v>245</v>
      </c>
      <c r="E15" s="71" t="s">
        <v>638</v>
      </c>
      <c r="F15" s="170">
        <v>3.9</v>
      </c>
      <c r="G15" s="248">
        <v>17</v>
      </c>
      <c r="H15" s="130"/>
      <c r="I15" s="71" t="s">
        <v>822</v>
      </c>
      <c r="J15" s="170">
        <v>0.75</v>
      </c>
      <c r="K15" s="248">
        <v>5</v>
      </c>
    </row>
    <row r="16" spans="1:23" x14ac:dyDescent="0.2">
      <c r="A16" s="71" t="s">
        <v>830</v>
      </c>
      <c r="B16" s="170">
        <v>13.38</v>
      </c>
      <c r="C16" s="248">
        <v>30</v>
      </c>
      <c r="E16" s="71" t="s">
        <v>877</v>
      </c>
      <c r="F16" s="170">
        <v>4</v>
      </c>
      <c r="G16" s="248">
        <v>3</v>
      </c>
      <c r="H16" s="130"/>
      <c r="I16" s="71" t="s">
        <v>652</v>
      </c>
      <c r="J16" s="170">
        <v>0.83</v>
      </c>
      <c r="K16" s="248">
        <v>5</v>
      </c>
      <c r="M16" s="258" t="s">
        <v>730</v>
      </c>
      <c r="N16" s="325" t="s">
        <v>243</v>
      </c>
      <c r="O16" s="326" t="s">
        <v>2</v>
      </c>
      <c r="Q16" s="456" t="s">
        <v>720</v>
      </c>
      <c r="R16" s="457"/>
      <c r="S16" s="336" t="s">
        <v>243</v>
      </c>
      <c r="T16" s="327" t="s">
        <v>2</v>
      </c>
      <c r="V16" s="465" t="s">
        <v>719</v>
      </c>
      <c r="W16" s="466"/>
    </row>
    <row r="17" spans="1:23" x14ac:dyDescent="0.2">
      <c r="A17" s="71" t="s">
        <v>807</v>
      </c>
      <c r="B17" s="170">
        <v>13.66</v>
      </c>
      <c r="C17" s="248">
        <v>100</v>
      </c>
      <c r="E17" s="71" t="s">
        <v>770</v>
      </c>
      <c r="F17" s="170">
        <v>4.04</v>
      </c>
      <c r="G17" s="248">
        <v>15</v>
      </c>
      <c r="H17" s="130"/>
      <c r="I17" s="71" t="s">
        <v>732</v>
      </c>
      <c r="J17" s="170">
        <v>0.85</v>
      </c>
      <c r="K17" s="248">
        <v>65</v>
      </c>
      <c r="M17" s="71" t="s">
        <v>793</v>
      </c>
      <c r="N17" s="170">
        <v>7.0000000000000007E-2</v>
      </c>
      <c r="O17" s="248">
        <v>0</v>
      </c>
      <c r="Q17" s="458" t="s">
        <v>721</v>
      </c>
      <c r="R17" s="459"/>
      <c r="S17" s="170">
        <v>4.8</v>
      </c>
      <c r="T17" s="248">
        <v>135</v>
      </c>
      <c r="V17" s="347" t="s">
        <v>243</v>
      </c>
      <c r="W17" s="348" t="s">
        <v>2</v>
      </c>
    </row>
    <row r="18" spans="1:23" x14ac:dyDescent="0.2">
      <c r="A18" s="71" t="s">
        <v>851</v>
      </c>
      <c r="B18" s="170">
        <v>13.75</v>
      </c>
      <c r="C18" s="248">
        <v>140</v>
      </c>
      <c r="E18" s="71" t="s">
        <v>767</v>
      </c>
      <c r="F18" s="170">
        <v>4.04</v>
      </c>
      <c r="G18" s="248">
        <v>140</v>
      </c>
      <c r="H18" s="130"/>
      <c r="I18" s="71" t="s">
        <v>901</v>
      </c>
      <c r="J18" s="170">
        <v>0.86</v>
      </c>
      <c r="K18" s="248">
        <v>5</v>
      </c>
      <c r="M18" s="71" t="s">
        <v>563</v>
      </c>
      <c r="N18" s="170">
        <v>0.15</v>
      </c>
      <c r="O18" s="248">
        <v>0</v>
      </c>
      <c r="Q18" s="458" t="s">
        <v>731</v>
      </c>
      <c r="R18" s="459"/>
      <c r="S18" s="170">
        <v>7.7</v>
      </c>
      <c r="T18" s="248">
        <v>210</v>
      </c>
      <c r="V18" s="152">
        <v>25</v>
      </c>
      <c r="W18" s="248">
        <v>55</v>
      </c>
    </row>
    <row r="19" spans="1:23" x14ac:dyDescent="0.2">
      <c r="A19" s="71" t="s">
        <v>796</v>
      </c>
      <c r="B19" s="170">
        <v>14</v>
      </c>
      <c r="C19" s="248">
        <v>100</v>
      </c>
      <c r="E19" s="71" t="s">
        <v>640</v>
      </c>
      <c r="F19" s="170">
        <v>4.2</v>
      </c>
      <c r="G19" s="248">
        <v>100</v>
      </c>
      <c r="H19" s="130"/>
      <c r="I19" s="71" t="s">
        <v>681</v>
      </c>
      <c r="J19" s="170">
        <v>0.92</v>
      </c>
      <c r="K19" s="248">
        <v>27</v>
      </c>
      <c r="M19" s="71" t="s">
        <v>641</v>
      </c>
      <c r="N19" s="170">
        <v>0.22</v>
      </c>
      <c r="O19" s="248">
        <v>0</v>
      </c>
      <c r="Q19" s="458" t="s">
        <v>722</v>
      </c>
      <c r="R19" s="459"/>
      <c r="S19" s="170">
        <v>10.9</v>
      </c>
      <c r="T19" s="248">
        <v>240</v>
      </c>
      <c r="V19" s="152"/>
      <c r="W19" s="248">
        <v>125</v>
      </c>
    </row>
    <row r="20" spans="1:23" x14ac:dyDescent="0.2">
      <c r="A20" s="71" t="s">
        <v>829</v>
      </c>
      <c r="B20" s="170">
        <v>14.25</v>
      </c>
      <c r="C20" s="248">
        <v>60</v>
      </c>
      <c r="E20" s="71" t="s">
        <v>881</v>
      </c>
      <c r="F20" s="170">
        <v>4.2699999999999996</v>
      </c>
      <c r="G20" s="248">
        <v>100</v>
      </c>
      <c r="H20" s="130"/>
      <c r="I20" s="71" t="s">
        <v>510</v>
      </c>
      <c r="J20" s="170">
        <v>0.93</v>
      </c>
      <c r="K20" s="248">
        <v>20</v>
      </c>
      <c r="M20" s="71" t="s">
        <v>651</v>
      </c>
      <c r="N20" s="170">
        <v>0.22</v>
      </c>
      <c r="O20" s="248">
        <v>5</v>
      </c>
      <c r="Q20" s="458" t="s">
        <v>723</v>
      </c>
      <c r="R20" s="459"/>
      <c r="S20" s="170">
        <v>13.5</v>
      </c>
      <c r="T20" s="248">
        <v>310</v>
      </c>
      <c r="V20" s="152"/>
      <c r="W20" s="248"/>
    </row>
    <row r="21" spans="1:23" x14ac:dyDescent="0.2">
      <c r="A21" s="71" t="s">
        <v>782</v>
      </c>
      <c r="B21" s="170">
        <v>14.36</v>
      </c>
      <c r="C21" s="248">
        <v>343</v>
      </c>
      <c r="E21" s="71" t="s">
        <v>725</v>
      </c>
      <c r="F21" s="170">
        <v>4.5</v>
      </c>
      <c r="G21" s="248">
        <v>30</v>
      </c>
      <c r="H21" s="130"/>
      <c r="I21" s="71" t="s">
        <v>810</v>
      </c>
      <c r="J21" s="170">
        <v>1</v>
      </c>
      <c r="K21" s="248">
        <v>0</v>
      </c>
      <c r="M21" s="71" t="s">
        <v>554</v>
      </c>
      <c r="N21" s="170">
        <v>0.23</v>
      </c>
      <c r="O21" s="248">
        <v>0</v>
      </c>
      <c r="Q21" s="454" t="s">
        <v>108</v>
      </c>
      <c r="R21" s="455"/>
      <c r="S21" s="174">
        <v>14.8</v>
      </c>
      <c r="T21" s="249">
        <v>330</v>
      </c>
      <c r="V21" s="152"/>
      <c r="W21" s="248"/>
    </row>
    <row r="22" spans="1:23" x14ac:dyDescent="0.2">
      <c r="A22" s="71" t="s">
        <v>739</v>
      </c>
      <c r="B22" s="170">
        <v>14.4</v>
      </c>
      <c r="C22" s="248">
        <v>200</v>
      </c>
      <c r="E22" s="71" t="s">
        <v>911</v>
      </c>
      <c r="F22" s="170">
        <v>4.5</v>
      </c>
      <c r="G22" s="248">
        <v>70</v>
      </c>
      <c r="H22" s="130"/>
      <c r="I22" s="71" t="s">
        <v>811</v>
      </c>
      <c r="J22" s="170">
        <v>1</v>
      </c>
      <c r="K22" s="248">
        <v>15</v>
      </c>
      <c r="M22" s="71" t="s">
        <v>665</v>
      </c>
      <c r="N22" s="170">
        <v>0.23</v>
      </c>
      <c r="O22" s="248">
        <v>0</v>
      </c>
      <c r="V22" s="152"/>
      <c r="W22" s="248"/>
    </row>
    <row r="23" spans="1:23" x14ac:dyDescent="0.2">
      <c r="A23" s="71" t="s">
        <v>675</v>
      </c>
      <c r="B23" s="170">
        <v>14.5</v>
      </c>
      <c r="C23" s="248">
        <v>130</v>
      </c>
      <c r="E23" s="71" t="s">
        <v>882</v>
      </c>
      <c r="F23" s="170">
        <v>4.78</v>
      </c>
      <c r="G23" s="248">
        <v>200</v>
      </c>
      <c r="H23" s="130"/>
      <c r="I23" s="71" t="s">
        <v>849</v>
      </c>
      <c r="J23" s="170">
        <v>1.1000000000000001</v>
      </c>
      <c r="K23" s="248">
        <v>17</v>
      </c>
      <c r="M23" s="71" t="s">
        <v>910</v>
      </c>
      <c r="N23" s="170">
        <v>0.3</v>
      </c>
      <c r="O23" s="248">
        <v>0</v>
      </c>
      <c r="Q23" s="456" t="s">
        <v>744</v>
      </c>
      <c r="R23" s="457"/>
      <c r="S23" s="336" t="s">
        <v>243</v>
      </c>
      <c r="T23" s="327" t="s">
        <v>2</v>
      </c>
      <c r="V23" s="152"/>
      <c r="W23" s="248"/>
    </row>
    <row r="24" spans="1:23" x14ac:dyDescent="0.2">
      <c r="A24" s="71" t="s">
        <v>836</v>
      </c>
      <c r="B24" s="170">
        <v>14.6</v>
      </c>
      <c r="C24" s="248">
        <v>115</v>
      </c>
      <c r="E24" s="71" t="s">
        <v>673</v>
      </c>
      <c r="F24" s="170">
        <v>5</v>
      </c>
      <c r="G24" s="248">
        <v>2</v>
      </c>
      <c r="H24" s="130"/>
      <c r="I24" s="71" t="s">
        <v>682</v>
      </c>
      <c r="J24" s="170">
        <v>1.2</v>
      </c>
      <c r="K24" s="248">
        <v>20</v>
      </c>
      <c r="M24" s="71" t="s">
        <v>909</v>
      </c>
      <c r="N24" s="170">
        <v>0.3</v>
      </c>
      <c r="O24" s="248">
        <v>1</v>
      </c>
      <c r="Q24" s="458" t="s">
        <v>874</v>
      </c>
      <c r="R24" s="459"/>
      <c r="S24" s="170">
        <v>15.63</v>
      </c>
      <c r="T24" s="248">
        <v>165</v>
      </c>
      <c r="V24" s="152"/>
      <c r="W24" s="248"/>
    </row>
    <row r="25" spans="1:23" x14ac:dyDescent="0.2">
      <c r="A25" s="71" t="s">
        <v>761</v>
      </c>
      <c r="B25" s="170">
        <v>14.7</v>
      </c>
      <c r="C25" s="248">
        <v>70</v>
      </c>
      <c r="E25" s="71" t="s">
        <v>893</v>
      </c>
      <c r="F25" s="170">
        <v>5</v>
      </c>
      <c r="G25" s="248">
        <v>50</v>
      </c>
      <c r="H25" s="130"/>
      <c r="I25" s="71" t="s">
        <v>683</v>
      </c>
      <c r="J25" s="170">
        <v>1.25</v>
      </c>
      <c r="K25" s="248">
        <v>20</v>
      </c>
      <c r="M25" s="71" t="s">
        <v>908</v>
      </c>
      <c r="N25" s="170">
        <v>0.3</v>
      </c>
      <c r="O25" s="248">
        <v>4</v>
      </c>
      <c r="Q25" s="458" t="s">
        <v>873</v>
      </c>
      <c r="R25" s="459"/>
      <c r="S25" s="170">
        <v>13.84</v>
      </c>
      <c r="T25" s="248">
        <v>110</v>
      </c>
      <c r="V25" s="152"/>
      <c r="W25" s="248"/>
    </row>
    <row r="26" spans="1:23" x14ac:dyDescent="0.2">
      <c r="A26" s="71" t="s">
        <v>544</v>
      </c>
      <c r="B26" s="170">
        <v>14.8</v>
      </c>
      <c r="C26" s="248">
        <v>330</v>
      </c>
      <c r="E26" s="71" t="s">
        <v>883</v>
      </c>
      <c r="F26" s="170">
        <v>5</v>
      </c>
      <c r="G26" s="248">
        <v>54</v>
      </c>
      <c r="H26" s="130"/>
      <c r="I26" s="71" t="s">
        <v>797</v>
      </c>
      <c r="J26" s="170">
        <v>1.3</v>
      </c>
      <c r="K26" s="248">
        <v>0</v>
      </c>
      <c r="M26" s="71" t="s">
        <v>792</v>
      </c>
      <c r="N26" s="170">
        <v>0.31</v>
      </c>
      <c r="O26" s="248">
        <v>130</v>
      </c>
      <c r="Q26" s="458"/>
      <c r="R26" s="459"/>
      <c r="S26" s="170"/>
      <c r="T26" s="248"/>
      <c r="V26" s="152"/>
      <c r="W26" s="248"/>
    </row>
    <row r="27" spans="1:23" x14ac:dyDescent="0.2">
      <c r="A27" s="71" t="s">
        <v>630</v>
      </c>
      <c r="B27" s="170">
        <v>14.86</v>
      </c>
      <c r="C27" s="248">
        <v>245</v>
      </c>
      <c r="E27" s="71" t="s">
        <v>674</v>
      </c>
      <c r="F27" s="170">
        <v>5</v>
      </c>
      <c r="G27" s="248">
        <v>160</v>
      </c>
      <c r="H27" s="130"/>
      <c r="I27" s="71" t="s">
        <v>684</v>
      </c>
      <c r="J27" s="170">
        <v>1.3</v>
      </c>
      <c r="K27" s="248">
        <v>7</v>
      </c>
      <c r="M27" s="71" t="s">
        <v>506</v>
      </c>
      <c r="N27" s="170">
        <v>0.37</v>
      </c>
      <c r="O27" s="248">
        <v>10</v>
      </c>
      <c r="Q27" s="458"/>
      <c r="R27" s="459"/>
      <c r="S27" s="170"/>
      <c r="T27" s="248"/>
      <c r="V27" s="152"/>
      <c r="W27" s="248"/>
    </row>
    <row r="28" spans="1:23" x14ac:dyDescent="0.2">
      <c r="A28" s="71" t="s">
        <v>628</v>
      </c>
      <c r="B28" s="170">
        <v>15.2</v>
      </c>
      <c r="C28" s="248">
        <v>215</v>
      </c>
      <c r="E28" s="71" t="s">
        <v>884</v>
      </c>
      <c r="F28" s="170">
        <v>5.13</v>
      </c>
      <c r="G28" s="248">
        <v>130</v>
      </c>
      <c r="H28" s="130"/>
      <c r="I28" s="71" t="s">
        <v>813</v>
      </c>
      <c r="J28" s="170">
        <v>1.4</v>
      </c>
      <c r="K28" s="248">
        <v>5</v>
      </c>
      <c r="M28" s="71" t="s">
        <v>666</v>
      </c>
      <c r="N28" s="170">
        <v>0.4</v>
      </c>
      <c r="O28" s="248">
        <v>0</v>
      </c>
      <c r="Q28" s="454"/>
      <c r="R28" s="455"/>
      <c r="S28" s="174"/>
      <c r="T28" s="249"/>
      <c r="V28" s="152"/>
      <c r="W28" s="248"/>
    </row>
    <row r="29" spans="1:23" x14ac:dyDescent="0.2">
      <c r="A29" s="71" t="s">
        <v>540</v>
      </c>
      <c r="B29" s="170">
        <v>15.8</v>
      </c>
      <c r="C29" s="248">
        <v>250</v>
      </c>
      <c r="E29" s="71" t="s">
        <v>711</v>
      </c>
      <c r="F29" s="170">
        <v>5.15</v>
      </c>
      <c r="G29" s="248">
        <v>25</v>
      </c>
      <c r="H29" s="130"/>
      <c r="I29" s="71" t="s">
        <v>843</v>
      </c>
      <c r="J29" s="170">
        <v>1.4</v>
      </c>
      <c r="K29" s="248">
        <v>28</v>
      </c>
      <c r="M29" s="71" t="s">
        <v>905</v>
      </c>
      <c r="N29" s="170">
        <v>0.41</v>
      </c>
      <c r="O29" s="248">
        <v>5</v>
      </c>
      <c r="V29" s="152"/>
      <c r="W29" s="248"/>
    </row>
    <row r="30" spans="1:23" x14ac:dyDescent="0.2">
      <c r="A30" s="71" t="s">
        <v>853</v>
      </c>
      <c r="B30" s="170">
        <v>15.899999999999999</v>
      </c>
      <c r="C30" s="248">
        <v>195</v>
      </c>
      <c r="E30" s="71" t="s">
        <v>885</v>
      </c>
      <c r="F30" s="170">
        <v>5.4</v>
      </c>
      <c r="G30" s="248">
        <v>165</v>
      </c>
      <c r="H30" s="130"/>
      <c r="I30" s="71" t="s">
        <v>820</v>
      </c>
      <c r="J30" s="170">
        <v>1.45</v>
      </c>
      <c r="K30" s="248">
        <v>15</v>
      </c>
      <c r="M30" s="71" t="s">
        <v>904</v>
      </c>
      <c r="N30" s="170">
        <v>0.41</v>
      </c>
      <c r="O30" s="248">
        <v>15</v>
      </c>
      <c r="Q30" s="456" t="s">
        <v>764</v>
      </c>
      <c r="R30" s="457"/>
      <c r="S30" s="336" t="s">
        <v>243</v>
      </c>
      <c r="T30" s="327" t="s">
        <v>2</v>
      </c>
      <c r="V30" s="152"/>
      <c r="W30" s="248"/>
    </row>
    <row r="31" spans="1:23" x14ac:dyDescent="0.2">
      <c r="A31" s="71" t="s">
        <v>781</v>
      </c>
      <c r="B31" s="170">
        <v>16.100000000000001</v>
      </c>
      <c r="C31" s="248">
        <v>160</v>
      </c>
      <c r="E31" s="71" t="s">
        <v>886</v>
      </c>
      <c r="F31" s="170">
        <v>5.5</v>
      </c>
      <c r="G31" s="248">
        <v>60</v>
      </c>
      <c r="H31" s="130"/>
      <c r="I31" s="71" t="s">
        <v>685</v>
      </c>
      <c r="J31" s="170">
        <v>1.47</v>
      </c>
      <c r="K31" s="248">
        <v>26</v>
      </c>
      <c r="M31" s="71" t="s">
        <v>907</v>
      </c>
      <c r="N31" s="170">
        <v>0.43</v>
      </c>
      <c r="O31" s="248">
        <v>0</v>
      </c>
      <c r="Q31" s="458" t="s">
        <v>765</v>
      </c>
      <c r="R31" s="459"/>
      <c r="S31" s="170">
        <v>72.099999999999994</v>
      </c>
      <c r="T31" s="248"/>
      <c r="V31" s="152"/>
      <c r="W31" s="248"/>
    </row>
    <row r="32" spans="1:23" x14ac:dyDescent="0.2">
      <c r="A32" s="71" t="s">
        <v>562</v>
      </c>
      <c r="B32" s="170">
        <v>17.7</v>
      </c>
      <c r="C32" s="248">
        <v>345</v>
      </c>
      <c r="E32" s="71" t="s">
        <v>892</v>
      </c>
      <c r="F32" s="170">
        <v>6</v>
      </c>
      <c r="G32" s="248">
        <v>175</v>
      </c>
      <c r="H32" s="130"/>
      <c r="I32" s="71" t="s">
        <v>742</v>
      </c>
      <c r="J32" s="170">
        <v>1.5</v>
      </c>
      <c r="K32" s="248">
        <v>20</v>
      </c>
      <c r="M32" s="71" t="s">
        <v>906</v>
      </c>
      <c r="N32" s="170">
        <v>0.43</v>
      </c>
      <c r="O32" s="248">
        <v>1</v>
      </c>
      <c r="Q32" s="458" t="s">
        <v>771</v>
      </c>
      <c r="R32" s="459"/>
      <c r="S32" s="170"/>
      <c r="T32" s="248"/>
      <c r="V32" s="153"/>
      <c r="W32" s="249"/>
    </row>
    <row r="33" spans="1:23" x14ac:dyDescent="0.2">
      <c r="A33" s="71" t="s">
        <v>672</v>
      </c>
      <c r="B33" s="170">
        <v>19.66</v>
      </c>
      <c r="C33" s="248">
        <v>23</v>
      </c>
      <c r="E33" s="71" t="s">
        <v>891</v>
      </c>
      <c r="F33" s="170">
        <v>6.1000000000000005</v>
      </c>
      <c r="G33" s="248">
        <v>105</v>
      </c>
      <c r="H33" s="130"/>
      <c r="I33" s="71" t="s">
        <v>686</v>
      </c>
      <c r="J33" s="170">
        <v>1.5</v>
      </c>
      <c r="K33" s="248">
        <v>30</v>
      </c>
      <c r="M33" s="71" t="s">
        <v>809</v>
      </c>
      <c r="N33" s="170">
        <v>0.48</v>
      </c>
      <c r="O33" s="248">
        <v>5</v>
      </c>
      <c r="Q33" s="454" t="s">
        <v>868</v>
      </c>
      <c r="R33" s="455"/>
      <c r="S33" s="174">
        <v>50.1</v>
      </c>
      <c r="T33" s="249"/>
      <c r="V33" s="281">
        <f>SUM(V18:V32)</f>
        <v>25</v>
      </c>
      <c r="W33" s="305">
        <f>SUM(W18:W32)</f>
        <v>180</v>
      </c>
    </row>
    <row r="34" spans="1:23" x14ac:dyDescent="0.2">
      <c r="A34" s="71" t="s">
        <v>550</v>
      </c>
      <c r="B34" s="170">
        <v>20</v>
      </c>
      <c r="C34" s="248">
        <v>120</v>
      </c>
      <c r="E34" s="71" t="s">
        <v>887</v>
      </c>
      <c r="F34" s="170">
        <v>6.4</v>
      </c>
      <c r="G34" s="248">
        <v>85</v>
      </c>
      <c r="H34" s="130"/>
      <c r="I34" s="71" t="s">
        <v>840</v>
      </c>
      <c r="J34" s="170">
        <v>1.8</v>
      </c>
      <c r="K34" s="248">
        <v>0</v>
      </c>
      <c r="M34" s="71" t="s">
        <v>728</v>
      </c>
      <c r="N34" s="170">
        <v>0.5</v>
      </c>
      <c r="O34" s="248">
        <v>0</v>
      </c>
    </row>
    <row r="35" spans="1:23" x14ac:dyDescent="0.2">
      <c r="A35" s="71" t="s">
        <v>872</v>
      </c>
      <c r="B35" s="170">
        <v>21.3</v>
      </c>
      <c r="C35" s="248">
        <v>150</v>
      </c>
      <c r="E35" s="71" t="s">
        <v>802</v>
      </c>
      <c r="F35" s="170">
        <v>7</v>
      </c>
      <c r="G35" s="248">
        <v>15</v>
      </c>
      <c r="H35" s="130"/>
      <c r="I35" s="71" t="s">
        <v>841</v>
      </c>
      <c r="J35" s="170">
        <v>1.9</v>
      </c>
      <c r="K35" s="248">
        <v>60</v>
      </c>
      <c r="M35" s="71" t="s">
        <v>667</v>
      </c>
      <c r="N35" s="170">
        <v>0.5</v>
      </c>
      <c r="O35" s="248">
        <v>0</v>
      </c>
      <c r="Q35" s="456" t="s">
        <v>794</v>
      </c>
      <c r="R35" s="457"/>
      <c r="S35" s="375" t="s">
        <v>243</v>
      </c>
      <c r="T35" s="376" t="s">
        <v>2</v>
      </c>
    </row>
    <row r="36" spans="1:23" x14ac:dyDescent="0.2">
      <c r="A36" s="71" t="s">
        <v>655</v>
      </c>
      <c r="B36" s="170">
        <v>22.9</v>
      </c>
      <c r="C36" s="248">
        <v>153</v>
      </c>
      <c r="E36" s="71" t="s">
        <v>900</v>
      </c>
      <c r="F36" s="170">
        <v>8.1</v>
      </c>
      <c r="G36" s="248">
        <v>30</v>
      </c>
      <c r="H36" s="130"/>
      <c r="I36" s="71" t="s">
        <v>508</v>
      </c>
      <c r="J36" s="170">
        <v>2</v>
      </c>
      <c r="K36" s="248">
        <v>2</v>
      </c>
      <c r="M36" s="71" t="s">
        <v>507</v>
      </c>
      <c r="N36" s="170">
        <v>0.5</v>
      </c>
      <c r="O36" s="248">
        <v>5</v>
      </c>
      <c r="Q36" s="467" t="s">
        <v>800</v>
      </c>
      <c r="R36" s="468"/>
      <c r="S36" s="170">
        <v>-3.9699999999999998</v>
      </c>
      <c r="T36" s="248">
        <v>-40</v>
      </c>
    </row>
    <row r="37" spans="1:23" x14ac:dyDescent="0.2">
      <c r="A37" s="71" t="s">
        <v>677</v>
      </c>
      <c r="B37" s="170">
        <v>23.04</v>
      </c>
      <c r="C37" s="248">
        <v>390</v>
      </c>
      <c r="E37" s="71" t="s">
        <v>714</v>
      </c>
      <c r="F37" s="170">
        <v>9.1</v>
      </c>
      <c r="G37" s="248">
        <v>250</v>
      </c>
      <c r="H37" s="130"/>
      <c r="I37" s="71" t="s">
        <v>775</v>
      </c>
      <c r="J37" s="170">
        <v>2.0499999999999998</v>
      </c>
      <c r="K37" s="248">
        <v>10</v>
      </c>
      <c r="M37" s="71" t="s">
        <v>712</v>
      </c>
      <c r="N37" s="170">
        <v>0.54</v>
      </c>
      <c r="O37" s="248">
        <v>15</v>
      </c>
      <c r="Q37" s="458" t="s">
        <v>795</v>
      </c>
      <c r="R37" s="459"/>
      <c r="S37" s="170">
        <v>-0.67</v>
      </c>
      <c r="T37" s="248">
        <v>-5</v>
      </c>
    </row>
    <row r="38" spans="1:23" x14ac:dyDescent="0.2">
      <c r="A38" s="71" t="s">
        <v>736</v>
      </c>
      <c r="B38" s="170">
        <v>24.28</v>
      </c>
      <c r="C38" s="248">
        <v>355</v>
      </c>
      <c r="E38" s="71" t="s">
        <v>888</v>
      </c>
      <c r="F38" s="170">
        <v>9.3000000000000007</v>
      </c>
      <c r="G38" s="248">
        <v>75</v>
      </c>
      <c r="H38" s="130"/>
      <c r="I38" s="71" t="s">
        <v>743</v>
      </c>
      <c r="J38" s="170">
        <v>2.1</v>
      </c>
      <c r="K38" s="248">
        <v>61</v>
      </c>
      <c r="M38" s="71"/>
      <c r="N38" s="170"/>
      <c r="O38" s="248"/>
      <c r="Q38" s="458" t="s">
        <v>806</v>
      </c>
      <c r="R38" s="459"/>
      <c r="S38" s="170">
        <v>-0.96</v>
      </c>
      <c r="T38" s="248">
        <v>-30</v>
      </c>
    </row>
    <row r="39" spans="1:23" x14ac:dyDescent="0.2">
      <c r="A39" s="71" t="s">
        <v>555</v>
      </c>
      <c r="B39" s="170">
        <v>29.7</v>
      </c>
      <c r="C39" s="248">
        <v>226</v>
      </c>
      <c r="E39" s="71" t="s">
        <v>889</v>
      </c>
      <c r="F39" s="170">
        <v>9.4</v>
      </c>
      <c r="G39" s="248">
        <v>200</v>
      </c>
      <c r="H39" s="130"/>
      <c r="I39" s="71" t="s">
        <v>842</v>
      </c>
      <c r="J39" s="170">
        <v>2.2000000000000002</v>
      </c>
      <c r="K39" s="248">
        <v>5</v>
      </c>
      <c r="M39" s="71"/>
      <c r="N39" s="170"/>
      <c r="O39" s="248"/>
      <c r="Q39" s="458" t="s">
        <v>815</v>
      </c>
      <c r="R39" s="459"/>
      <c r="S39" s="170">
        <v>-0.3</v>
      </c>
      <c r="T39" s="248">
        <v>0</v>
      </c>
    </row>
    <row r="40" spans="1:23" x14ac:dyDescent="0.2">
      <c r="A40" s="71" t="s">
        <v>825</v>
      </c>
      <c r="B40" s="170">
        <v>32</v>
      </c>
      <c r="C40" s="248">
        <v>492</v>
      </c>
      <c r="E40" s="71" t="s">
        <v>805</v>
      </c>
      <c r="F40" s="170">
        <v>9.65</v>
      </c>
      <c r="G40" s="248">
        <v>100</v>
      </c>
      <c r="H40" s="130"/>
      <c r="I40" s="71" t="s">
        <v>619</v>
      </c>
      <c r="J40" s="170">
        <v>2.2999999999999998</v>
      </c>
      <c r="K40" s="248">
        <v>10</v>
      </c>
      <c r="M40" s="71"/>
      <c r="N40" s="170"/>
      <c r="O40" s="248"/>
      <c r="Q40" s="458"/>
      <c r="R40" s="459"/>
      <c r="S40" s="170"/>
      <c r="T40" s="248"/>
    </row>
    <row r="41" spans="1:23" x14ac:dyDescent="0.2">
      <c r="A41" s="71" t="s">
        <v>663</v>
      </c>
      <c r="B41" s="170">
        <v>33.5</v>
      </c>
      <c r="C41" s="248">
        <v>275</v>
      </c>
      <c r="E41" s="71" t="s">
        <v>557</v>
      </c>
      <c r="F41" s="170">
        <v>10</v>
      </c>
      <c r="G41" s="248">
        <v>30</v>
      </c>
      <c r="H41" s="130"/>
      <c r="I41" s="71" t="s">
        <v>791</v>
      </c>
      <c r="J41" s="170">
        <v>2.4</v>
      </c>
      <c r="K41" s="248">
        <v>2</v>
      </c>
      <c r="M41" s="71"/>
      <c r="N41" s="170"/>
      <c r="O41" s="248"/>
      <c r="Q41" s="458"/>
      <c r="R41" s="459"/>
      <c r="S41" s="170"/>
      <c r="T41" s="248"/>
    </row>
    <row r="42" spans="1:23" x14ac:dyDescent="0.2">
      <c r="A42" s="71"/>
      <c r="B42" s="170"/>
      <c r="C42" s="248"/>
      <c r="E42" s="71" t="s">
        <v>925</v>
      </c>
      <c r="F42" s="170">
        <v>10.050000000000001</v>
      </c>
      <c r="G42" s="248">
        <v>115</v>
      </c>
      <c r="H42" s="130"/>
      <c r="I42" s="71" t="s">
        <v>798</v>
      </c>
      <c r="J42" s="170">
        <v>2.5</v>
      </c>
      <c r="K42" s="248">
        <v>66</v>
      </c>
      <c r="M42" s="71"/>
      <c r="N42" s="170"/>
      <c r="O42" s="248"/>
      <c r="Q42" s="388"/>
      <c r="R42" s="389"/>
      <c r="S42" s="170"/>
      <c r="T42" s="248"/>
    </row>
    <row r="43" spans="1:23" x14ac:dyDescent="0.2">
      <c r="A43" s="71"/>
      <c r="B43" s="170"/>
      <c r="C43" s="248"/>
      <c r="E43" s="71" t="s">
        <v>852</v>
      </c>
      <c r="F43" s="170">
        <v>10.199999999999999</v>
      </c>
      <c r="G43" s="248">
        <v>145</v>
      </c>
      <c r="H43" s="130"/>
      <c r="I43" s="71" t="s">
        <v>660</v>
      </c>
      <c r="J43" s="170">
        <v>2.6</v>
      </c>
      <c r="K43" s="248">
        <v>49</v>
      </c>
      <c r="M43" s="71"/>
      <c r="N43" s="170"/>
      <c r="O43" s="248"/>
      <c r="Q43" s="388"/>
      <c r="R43" s="389"/>
      <c r="S43" s="170"/>
      <c r="T43" s="248"/>
    </row>
    <row r="44" spans="1:23" x14ac:dyDescent="0.2">
      <c r="A44" s="71"/>
      <c r="B44" s="170"/>
      <c r="C44" s="248"/>
      <c r="E44" s="71" t="s">
        <v>613</v>
      </c>
      <c r="F44" s="170">
        <v>10.3</v>
      </c>
      <c r="G44" s="248">
        <v>100</v>
      </c>
      <c r="H44" s="130"/>
      <c r="I44" s="71" t="s">
        <v>902</v>
      </c>
      <c r="J44" s="170">
        <v>2.85</v>
      </c>
      <c r="K44" s="248">
        <v>70</v>
      </c>
      <c r="M44" s="71"/>
      <c r="N44" s="170"/>
      <c r="O44" s="248"/>
      <c r="Q44" s="388"/>
      <c r="R44" s="389"/>
      <c r="S44" s="170"/>
      <c r="T44" s="248"/>
    </row>
    <row r="45" spans="1:23" x14ac:dyDescent="0.2">
      <c r="A45" s="343"/>
      <c r="B45" s="174"/>
      <c r="C45" s="249"/>
      <c r="E45" s="71" t="s">
        <v>615</v>
      </c>
      <c r="F45" s="170">
        <v>10.62</v>
      </c>
      <c r="G45" s="248">
        <v>50</v>
      </c>
      <c r="H45" s="130"/>
      <c r="I45" s="71"/>
      <c r="J45" s="170"/>
      <c r="K45" s="248"/>
      <c r="M45" s="71"/>
      <c r="N45" s="170"/>
      <c r="O45" s="248"/>
      <c r="Q45" s="388"/>
      <c r="R45" s="389"/>
      <c r="S45" s="170"/>
      <c r="T45" s="248"/>
    </row>
    <row r="46" spans="1:23" x14ac:dyDescent="0.2">
      <c r="E46" s="71" t="s">
        <v>482</v>
      </c>
      <c r="F46" s="170">
        <v>10.65</v>
      </c>
      <c r="G46" s="248">
        <v>40</v>
      </c>
      <c r="I46" s="71"/>
      <c r="J46" s="170"/>
      <c r="K46" s="248"/>
      <c r="M46" s="71"/>
      <c r="N46" s="170"/>
      <c r="O46" s="248"/>
      <c r="Q46" s="388"/>
      <c r="R46" s="389"/>
      <c r="S46" s="170"/>
      <c r="T46" s="248"/>
    </row>
    <row r="47" spans="1:23" x14ac:dyDescent="0.2">
      <c r="A47" s="258" t="s">
        <v>671</v>
      </c>
      <c r="B47" s="336"/>
      <c r="C47" s="327"/>
      <c r="E47" s="71" t="s">
        <v>612</v>
      </c>
      <c r="F47" s="170">
        <v>10.66</v>
      </c>
      <c r="G47" s="248">
        <v>90</v>
      </c>
      <c r="I47" s="71"/>
      <c r="J47" s="170"/>
      <c r="K47" s="248"/>
      <c r="M47" s="71"/>
      <c r="N47" s="170"/>
      <c r="O47" s="248"/>
      <c r="Q47" s="458"/>
      <c r="R47" s="459"/>
      <c r="S47" s="170"/>
      <c r="T47" s="248"/>
    </row>
    <row r="48" spans="1:23" x14ac:dyDescent="0.2">
      <c r="A48" s="340" t="s">
        <v>670</v>
      </c>
      <c r="B48" s="141"/>
      <c r="C48" s="135"/>
      <c r="E48" s="343" t="s">
        <v>890</v>
      </c>
      <c r="F48" s="174">
        <v>10.8</v>
      </c>
      <c r="G48" s="249">
        <v>306</v>
      </c>
      <c r="I48" s="343"/>
      <c r="J48" s="174"/>
      <c r="K48" s="249"/>
      <c r="M48" s="343"/>
      <c r="N48" s="174"/>
      <c r="O48" s="249"/>
      <c r="Q48" s="454"/>
      <c r="R48" s="455"/>
      <c r="S48" s="174"/>
      <c r="T48" s="249"/>
    </row>
  </sheetData>
  <sortState ref="I8:K48">
    <sortCondition ref="J8:J48"/>
    <sortCondition ref="K8:K48"/>
  </sortState>
  <mergeCells count="28">
    <mergeCell ref="Q48:R48"/>
    <mergeCell ref="Q33:R33"/>
    <mergeCell ref="Q30:R30"/>
    <mergeCell ref="Q31:R31"/>
    <mergeCell ref="Q32:R32"/>
    <mergeCell ref="Q35:R35"/>
    <mergeCell ref="Q36:R36"/>
    <mergeCell ref="Q37:R37"/>
    <mergeCell ref="Q38:R38"/>
    <mergeCell ref="Q39:R39"/>
    <mergeCell ref="Q40:R40"/>
    <mergeCell ref="Q41:R41"/>
    <mergeCell ref="Q47:R47"/>
    <mergeCell ref="Q18:R18"/>
    <mergeCell ref="Q19:R19"/>
    <mergeCell ref="Q20:R20"/>
    <mergeCell ref="Q21:R21"/>
    <mergeCell ref="A1:W1"/>
    <mergeCell ref="S7:W7"/>
    <mergeCell ref="V16:W16"/>
    <mergeCell ref="Q16:R16"/>
    <mergeCell ref="Q17:R17"/>
    <mergeCell ref="Q28:R28"/>
    <mergeCell ref="Q23:R23"/>
    <mergeCell ref="Q24:R24"/>
    <mergeCell ref="Q25:R25"/>
    <mergeCell ref="Q26:R26"/>
    <mergeCell ref="Q27:R27"/>
  </mergeCells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G4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style="1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6" width="10.28515625" bestFit="1" customWidth="1"/>
    <col min="7" max="7" width="5.85546875" customWidth="1"/>
  </cols>
  <sheetData>
    <row r="1" spans="1:7" s="33" customFormat="1" x14ac:dyDescent="0.2">
      <c r="A1" s="197" t="s">
        <v>55</v>
      </c>
      <c r="B1" s="75" t="s">
        <v>0</v>
      </c>
      <c r="C1" s="232" t="s">
        <v>243</v>
      </c>
      <c r="D1" s="366" t="s">
        <v>2</v>
      </c>
      <c r="E1" s="23" t="s">
        <v>242</v>
      </c>
      <c r="F1" s="76" t="s">
        <v>1</v>
      </c>
      <c r="G1" s="24" t="s">
        <v>3</v>
      </c>
    </row>
    <row r="2" spans="1:7" x14ac:dyDescent="0.2">
      <c r="A2" s="1" t="s">
        <v>392</v>
      </c>
      <c r="B2" s="2">
        <v>3.1921296296296302E-2</v>
      </c>
      <c r="C2" s="11">
        <v>13.64</v>
      </c>
      <c r="D2" s="13">
        <v>346</v>
      </c>
      <c r="E2" s="4">
        <v>17.8</v>
      </c>
      <c r="F2" s="13">
        <v>458</v>
      </c>
      <c r="G2" s="6" t="s">
        <v>5</v>
      </c>
    </row>
    <row r="3" spans="1:7" x14ac:dyDescent="0.2">
      <c r="A3" s="1" t="s">
        <v>392</v>
      </c>
      <c r="B3" s="2">
        <v>4.8402777777777774E-2</v>
      </c>
      <c r="C3" s="14">
        <v>13</v>
      </c>
      <c r="D3" s="13">
        <v>346</v>
      </c>
      <c r="E3" s="9">
        <v>11.1</v>
      </c>
      <c r="F3" s="13">
        <v>458</v>
      </c>
      <c r="G3" s="6" t="s">
        <v>6</v>
      </c>
    </row>
    <row r="4" spans="1:7" x14ac:dyDescent="0.2">
      <c r="A4" s="1" t="s">
        <v>599</v>
      </c>
      <c r="B4" s="2">
        <v>4.3750000000000004E-2</v>
      </c>
      <c r="C4" s="11">
        <v>15.71</v>
      </c>
      <c r="D4" s="13">
        <v>345</v>
      </c>
      <c r="E4" s="12">
        <v>15</v>
      </c>
      <c r="F4" s="13">
        <v>460</v>
      </c>
      <c r="G4" s="6" t="s">
        <v>6</v>
      </c>
    </row>
    <row r="5" spans="1:7" x14ac:dyDescent="0.2">
      <c r="A5" s="1" t="s">
        <v>58</v>
      </c>
      <c r="B5" s="2">
        <v>3.802083333333333E-2</v>
      </c>
      <c r="C5" s="3">
        <v>19.04</v>
      </c>
      <c r="D5" s="84">
        <v>323</v>
      </c>
      <c r="E5" s="12">
        <v>20.8</v>
      </c>
      <c r="F5" s="13">
        <v>448</v>
      </c>
      <c r="G5" s="6" t="s">
        <v>5</v>
      </c>
    </row>
    <row r="6" spans="1:7" x14ac:dyDescent="0.2">
      <c r="A6" s="1" t="s">
        <v>650</v>
      </c>
      <c r="B6" s="2">
        <v>6.5578703703703708E-2</v>
      </c>
      <c r="C6" s="14">
        <v>23.3</v>
      </c>
      <c r="D6" s="13">
        <v>320</v>
      </c>
      <c r="E6" s="12">
        <v>14.8</v>
      </c>
      <c r="F6">
        <v>341</v>
      </c>
      <c r="G6" t="s">
        <v>645</v>
      </c>
    </row>
    <row r="7" spans="1:7" x14ac:dyDescent="0.2">
      <c r="A7" s="1" t="s">
        <v>625</v>
      </c>
      <c r="B7" s="2">
        <v>7.2916666666666671E-2</v>
      </c>
      <c r="C7" s="120">
        <v>41.4</v>
      </c>
      <c r="D7" s="13">
        <v>305</v>
      </c>
      <c r="E7" s="12">
        <v>23.657142857142855</v>
      </c>
      <c r="F7">
        <v>380</v>
      </c>
      <c r="G7" s="6" t="s">
        <v>398</v>
      </c>
    </row>
    <row r="8" spans="1:7" x14ac:dyDescent="0.2">
      <c r="A8" s="1" t="s">
        <v>759</v>
      </c>
      <c r="B8" s="2">
        <v>4.8611111111111112E-2</v>
      </c>
      <c r="C8" s="11">
        <v>17.3</v>
      </c>
      <c r="D8" s="13">
        <v>305</v>
      </c>
      <c r="E8" s="12">
        <v>14.828571428571427</v>
      </c>
      <c r="F8">
        <v>390</v>
      </c>
      <c r="G8" t="s">
        <v>645</v>
      </c>
    </row>
    <row r="9" spans="1:7" x14ac:dyDescent="0.2">
      <c r="A9" s="1" t="s">
        <v>869</v>
      </c>
      <c r="B9" s="2">
        <v>8.6805555555555566E-2</v>
      </c>
      <c r="C9" s="11">
        <v>50.1</v>
      </c>
      <c r="D9">
        <v>302</v>
      </c>
      <c r="E9" s="12">
        <v>24.047999999999995</v>
      </c>
      <c r="F9">
        <v>384</v>
      </c>
      <c r="G9" t="s">
        <v>5</v>
      </c>
    </row>
    <row r="10" spans="1:7" x14ac:dyDescent="0.2">
      <c r="A10" s="1" t="s">
        <v>179</v>
      </c>
      <c r="B10" s="2">
        <v>5.0150462962962966E-2</v>
      </c>
      <c r="C10" s="3">
        <v>21.41</v>
      </c>
      <c r="D10" s="5">
        <v>300</v>
      </c>
      <c r="E10" s="9">
        <v>17.7</v>
      </c>
      <c r="F10" s="13">
        <v>341</v>
      </c>
      <c r="G10" s="231" t="s">
        <v>6</v>
      </c>
    </row>
    <row r="11" spans="1:7" x14ac:dyDescent="0.2">
      <c r="A11" s="1" t="s">
        <v>928</v>
      </c>
      <c r="B11" s="2">
        <v>5.2222222222222225E-2</v>
      </c>
      <c r="C11" s="11">
        <v>18.8</v>
      </c>
      <c r="D11">
        <v>290</v>
      </c>
      <c r="E11" s="12">
        <v>15</v>
      </c>
      <c r="F11">
        <v>349</v>
      </c>
      <c r="G11" t="s">
        <v>6</v>
      </c>
    </row>
    <row r="12" spans="1:7" x14ac:dyDescent="0.2">
      <c r="A12" s="1" t="s">
        <v>586</v>
      </c>
      <c r="B12" s="2">
        <v>6.7708333333333329E-2</v>
      </c>
      <c r="C12" s="3">
        <v>31</v>
      </c>
      <c r="D12" s="8">
        <v>275</v>
      </c>
      <c r="E12" s="12">
        <v>19.100000000000001</v>
      </c>
      <c r="F12" s="13">
        <v>301</v>
      </c>
      <c r="G12" s="231" t="s">
        <v>398</v>
      </c>
    </row>
    <row r="13" spans="1:7" x14ac:dyDescent="0.2">
      <c r="A13" s="1" t="s">
        <v>566</v>
      </c>
      <c r="B13" s="2">
        <v>6.682870370370371E-2</v>
      </c>
      <c r="C13" s="3">
        <v>37.299999999999997</v>
      </c>
      <c r="D13" s="13">
        <v>270</v>
      </c>
      <c r="E13" s="12">
        <v>23.3</v>
      </c>
      <c r="F13" s="13">
        <v>345</v>
      </c>
      <c r="G13" s="6" t="s">
        <v>398</v>
      </c>
    </row>
    <row r="14" spans="1:7" x14ac:dyDescent="0.2">
      <c r="A14" s="1" t="s">
        <v>435</v>
      </c>
      <c r="B14" s="2">
        <v>6.2685185185185191E-2</v>
      </c>
      <c r="C14" s="14">
        <v>34.6</v>
      </c>
      <c r="D14" s="13">
        <v>270</v>
      </c>
      <c r="E14" s="9">
        <v>23</v>
      </c>
      <c r="F14" s="13">
        <v>270</v>
      </c>
      <c r="G14" s="6" t="s">
        <v>398</v>
      </c>
    </row>
    <row r="15" spans="1:7" x14ac:dyDescent="0.2">
      <c r="A15" s="1" t="s">
        <v>897</v>
      </c>
      <c r="B15" s="2">
        <v>6.7037037037037034E-2</v>
      </c>
      <c r="C15" s="11">
        <v>27.67</v>
      </c>
      <c r="D15">
        <v>263</v>
      </c>
      <c r="E15" s="12">
        <v>17.198204419889503</v>
      </c>
      <c r="F15">
        <v>317</v>
      </c>
      <c r="G15" s="198" t="s">
        <v>398</v>
      </c>
    </row>
    <row r="16" spans="1:7" x14ac:dyDescent="0.2">
      <c r="A16" s="1" t="s">
        <v>808</v>
      </c>
      <c r="B16" s="2">
        <v>7.2916666666666671E-2</v>
      </c>
      <c r="C16" s="11">
        <v>38.200000000000003</v>
      </c>
      <c r="D16">
        <v>260</v>
      </c>
      <c r="E16" s="12">
        <v>21.828571428571429</v>
      </c>
      <c r="F16">
        <v>272</v>
      </c>
      <c r="G16" t="s">
        <v>645</v>
      </c>
    </row>
    <row r="17" spans="1:7" x14ac:dyDescent="0.2">
      <c r="A17" s="1" t="s">
        <v>391</v>
      </c>
      <c r="B17" s="2">
        <v>7.5983796296296299E-2</v>
      </c>
      <c r="C17" s="11">
        <v>34.17</v>
      </c>
      <c r="D17" s="13">
        <v>255</v>
      </c>
      <c r="E17" s="9">
        <v>18.7</v>
      </c>
      <c r="F17" s="13">
        <v>341</v>
      </c>
      <c r="G17" s="6" t="s">
        <v>6</v>
      </c>
    </row>
    <row r="18" spans="1:7" x14ac:dyDescent="0.2">
      <c r="A18" s="1" t="s">
        <v>777</v>
      </c>
      <c r="B18" s="2">
        <v>7.0833333333333331E-2</v>
      </c>
      <c r="C18" s="14">
        <v>24.5</v>
      </c>
      <c r="D18" s="13">
        <v>245</v>
      </c>
      <c r="E18" s="12">
        <v>14.4</v>
      </c>
      <c r="F18">
        <v>341</v>
      </c>
      <c r="G18" t="s">
        <v>645</v>
      </c>
    </row>
    <row r="19" spans="1:7" x14ac:dyDescent="0.2">
      <c r="A19" s="1" t="s">
        <v>929</v>
      </c>
      <c r="B19" s="2">
        <v>4.6747685185185184E-2</v>
      </c>
      <c r="C19" s="11">
        <v>15.9</v>
      </c>
      <c r="D19">
        <v>244</v>
      </c>
      <c r="E19" s="12">
        <v>14.2</v>
      </c>
      <c r="F19">
        <v>349</v>
      </c>
      <c r="G19" t="s">
        <v>645</v>
      </c>
    </row>
    <row r="20" spans="1:7" x14ac:dyDescent="0.2">
      <c r="A20" s="1" t="s">
        <v>913</v>
      </c>
      <c r="B20" s="2">
        <v>4.8611111111111112E-2</v>
      </c>
      <c r="C20" s="11">
        <v>18.7</v>
      </c>
      <c r="D20">
        <v>230</v>
      </c>
      <c r="E20" s="12">
        <v>16</v>
      </c>
      <c r="F20">
        <v>350</v>
      </c>
      <c r="G20" t="s">
        <v>645</v>
      </c>
    </row>
    <row r="21" spans="1:7" x14ac:dyDescent="0.2">
      <c r="A21" s="1" t="s">
        <v>513</v>
      </c>
      <c r="B21" s="2">
        <v>4.207175925925926E-2</v>
      </c>
      <c r="C21" s="14">
        <v>19.399999999999999</v>
      </c>
      <c r="D21" s="13">
        <v>225</v>
      </c>
      <c r="E21" s="9">
        <v>19.2</v>
      </c>
      <c r="F21" s="13">
        <v>300</v>
      </c>
      <c r="G21" s="233" t="s">
        <v>398</v>
      </c>
    </row>
    <row r="22" spans="1:7" x14ac:dyDescent="0.2">
      <c r="A22" s="1" t="s">
        <v>247</v>
      </c>
      <c r="B22" s="2">
        <v>5.3449074074074072E-2</v>
      </c>
      <c r="C22" s="3">
        <v>24.68</v>
      </c>
      <c r="D22" s="13">
        <v>212</v>
      </c>
      <c r="E22" s="9">
        <v>19.2</v>
      </c>
      <c r="F22" s="13">
        <v>296</v>
      </c>
      <c r="G22" s="6" t="s">
        <v>6</v>
      </c>
    </row>
    <row r="23" spans="1:7" x14ac:dyDescent="0.2">
      <c r="A23" s="1" t="s">
        <v>657</v>
      </c>
      <c r="B23" s="2">
        <v>3.6550925925925924E-2</v>
      </c>
      <c r="C23" s="14">
        <v>12.6</v>
      </c>
      <c r="D23" s="8">
        <v>212</v>
      </c>
      <c r="E23" s="12">
        <v>14.4</v>
      </c>
      <c r="F23">
        <v>340</v>
      </c>
      <c r="G23" t="s">
        <v>645</v>
      </c>
    </row>
    <row r="24" spans="1:7" x14ac:dyDescent="0.2">
      <c r="A24" s="1" t="s">
        <v>709</v>
      </c>
      <c r="B24" s="2">
        <v>5.7395833333333326E-2</v>
      </c>
      <c r="C24" s="14">
        <v>22.04</v>
      </c>
      <c r="D24" s="8">
        <v>210</v>
      </c>
      <c r="E24" s="12">
        <v>16</v>
      </c>
      <c r="F24">
        <v>280</v>
      </c>
      <c r="G24" t="s">
        <v>6</v>
      </c>
    </row>
    <row r="25" spans="1:7" x14ac:dyDescent="0.2">
      <c r="A25" s="1" t="s">
        <v>501</v>
      </c>
      <c r="B25" s="2">
        <v>4.3958333333333328E-2</v>
      </c>
      <c r="C25" s="3">
        <v>17.93</v>
      </c>
      <c r="D25" s="13">
        <v>210</v>
      </c>
      <c r="E25" s="4">
        <v>17</v>
      </c>
      <c r="F25">
        <v>275</v>
      </c>
      <c r="G25" s="6" t="s">
        <v>6</v>
      </c>
    </row>
    <row r="26" spans="1:7" x14ac:dyDescent="0.2">
      <c r="A26" s="1" t="s">
        <v>778</v>
      </c>
      <c r="B26" s="2">
        <v>4.8611111111111112E-2</v>
      </c>
      <c r="C26" s="14">
        <v>19.399999999999999</v>
      </c>
      <c r="D26" s="13">
        <v>200</v>
      </c>
      <c r="E26" s="9">
        <v>16.600000000000001</v>
      </c>
      <c r="F26" s="13">
        <v>250</v>
      </c>
      <c r="G26" s="6" t="s">
        <v>6</v>
      </c>
    </row>
    <row r="27" spans="1:7" x14ac:dyDescent="0.2">
      <c r="A27" s="1" t="s">
        <v>779</v>
      </c>
      <c r="B27" s="2">
        <v>6.9444444444444434E-2</v>
      </c>
      <c r="C27" s="11">
        <v>32.200000000000003</v>
      </c>
      <c r="D27" s="13">
        <v>195</v>
      </c>
      <c r="E27" s="12">
        <v>19.3</v>
      </c>
      <c r="F27">
        <v>215</v>
      </c>
      <c r="G27" t="s">
        <v>398</v>
      </c>
    </row>
    <row r="28" spans="1:7" x14ac:dyDescent="0.2">
      <c r="A28" s="1" t="s">
        <v>530</v>
      </c>
      <c r="B28" s="2">
        <v>7.1076388888888883E-2</v>
      </c>
      <c r="C28" s="3">
        <v>28.03</v>
      </c>
      <c r="D28" s="13">
        <v>195</v>
      </c>
      <c r="E28" s="9">
        <v>16.399999999999999</v>
      </c>
      <c r="F28" s="13">
        <v>281</v>
      </c>
      <c r="G28" s="16" t="s">
        <v>6</v>
      </c>
    </row>
    <row r="29" spans="1:7" x14ac:dyDescent="0.2">
      <c r="A29" s="1" t="s">
        <v>56</v>
      </c>
      <c r="B29" s="2">
        <v>5.814814814814815E-2</v>
      </c>
      <c r="C29" s="3">
        <v>34.729999999999997</v>
      </c>
      <c r="D29" s="8">
        <v>190</v>
      </c>
      <c r="E29" s="9">
        <v>24.9</v>
      </c>
      <c r="F29" s="13">
        <v>230</v>
      </c>
      <c r="G29" s="6" t="s">
        <v>5</v>
      </c>
    </row>
    <row r="30" spans="1:7" x14ac:dyDescent="0.2">
      <c r="A30" s="1" t="s">
        <v>369</v>
      </c>
      <c r="B30" s="2">
        <v>5.6608796296296303E-2</v>
      </c>
      <c r="C30" s="3">
        <v>29.05</v>
      </c>
      <c r="D30" s="13">
        <v>190</v>
      </c>
      <c r="E30" s="9">
        <v>21.3</v>
      </c>
      <c r="F30" s="13">
        <v>281</v>
      </c>
      <c r="G30" s="6" t="s">
        <v>398</v>
      </c>
    </row>
    <row r="31" spans="1:7" x14ac:dyDescent="0.2">
      <c r="A31" s="1" t="s">
        <v>407</v>
      </c>
      <c r="B31" s="2">
        <v>3.5416666666666666E-2</v>
      </c>
      <c r="C31" s="11">
        <v>16</v>
      </c>
      <c r="D31" s="8">
        <v>182</v>
      </c>
      <c r="E31" s="9">
        <v>18.600000000000001</v>
      </c>
      <c r="F31" s="13">
        <v>245</v>
      </c>
      <c r="G31" s="85" t="s">
        <v>398</v>
      </c>
    </row>
    <row r="32" spans="1:7" x14ac:dyDescent="0.2">
      <c r="A32" s="1" t="s">
        <v>316</v>
      </c>
      <c r="B32" s="2">
        <v>4.9999999999999996E-2</v>
      </c>
      <c r="C32" s="3">
        <v>22.83</v>
      </c>
      <c r="D32" s="13">
        <v>172</v>
      </c>
      <c r="E32" s="9">
        <v>19</v>
      </c>
      <c r="F32" s="13">
        <v>215</v>
      </c>
      <c r="G32" s="6" t="s">
        <v>6</v>
      </c>
    </row>
    <row r="33" spans="1:7" x14ac:dyDescent="0.2">
      <c r="A33" s="1" t="s">
        <v>502</v>
      </c>
      <c r="B33" s="2">
        <v>3.3848039215686271E-2</v>
      </c>
      <c r="C33" s="3">
        <v>13.81</v>
      </c>
      <c r="D33" s="8">
        <v>170</v>
      </c>
      <c r="E33" s="9">
        <v>17</v>
      </c>
      <c r="F33" s="13">
        <v>275</v>
      </c>
      <c r="G33" s="6" t="s">
        <v>6</v>
      </c>
    </row>
    <row r="34" spans="1:7" x14ac:dyDescent="0.2">
      <c r="A34" s="1" t="s">
        <v>551</v>
      </c>
      <c r="B34" s="2">
        <v>4.4047619047619044E-2</v>
      </c>
      <c r="C34" s="3">
        <v>22.2</v>
      </c>
      <c r="D34" s="13">
        <v>167</v>
      </c>
      <c r="E34" s="12">
        <v>21</v>
      </c>
      <c r="F34" s="13">
        <v>230</v>
      </c>
      <c r="G34" s="6" t="s">
        <v>398</v>
      </c>
    </row>
    <row r="35" spans="1:7" x14ac:dyDescent="0.2">
      <c r="A35" s="1" t="s">
        <v>639</v>
      </c>
      <c r="B35" s="2">
        <v>3.3333333333333333E-2</v>
      </c>
      <c r="C35" s="11">
        <v>12</v>
      </c>
      <c r="D35" s="13">
        <v>162</v>
      </c>
      <c r="E35" s="12">
        <v>15</v>
      </c>
      <c r="F35" s="13">
        <v>270</v>
      </c>
      <c r="G35" s="6" t="s">
        <v>398</v>
      </c>
    </row>
    <row r="36" spans="1:7" x14ac:dyDescent="0.2">
      <c r="A36" s="1" t="s">
        <v>531</v>
      </c>
      <c r="B36" s="2">
        <v>4.5138888888888888E-2</v>
      </c>
      <c r="C36" s="3">
        <v>27.4</v>
      </c>
      <c r="D36" s="13">
        <v>160</v>
      </c>
      <c r="E36" s="12">
        <v>25.1</v>
      </c>
      <c r="F36" s="13">
        <v>240</v>
      </c>
      <c r="G36" t="s">
        <v>398</v>
      </c>
    </row>
    <row r="37" spans="1:7" x14ac:dyDescent="0.2">
      <c r="A37" s="1" t="s">
        <v>59</v>
      </c>
      <c r="B37" s="2">
        <v>4.3194444444444445E-2</v>
      </c>
      <c r="C37" s="3">
        <v>27.06</v>
      </c>
      <c r="D37" s="13">
        <v>160</v>
      </c>
      <c r="E37" s="9">
        <v>26.1</v>
      </c>
      <c r="F37" s="13">
        <v>270</v>
      </c>
      <c r="G37" t="s">
        <v>5</v>
      </c>
    </row>
    <row r="38" spans="1:7" x14ac:dyDescent="0.2">
      <c r="A38" s="1" t="s">
        <v>151</v>
      </c>
      <c r="B38" s="2">
        <v>7.8067129629629625E-2</v>
      </c>
      <c r="C38" s="3">
        <v>42.2</v>
      </c>
      <c r="D38" s="13">
        <v>156</v>
      </c>
      <c r="E38" s="4">
        <v>22.5</v>
      </c>
      <c r="F38" s="13">
        <v>249</v>
      </c>
      <c r="G38" t="s">
        <v>6</v>
      </c>
    </row>
    <row r="39" spans="1:7" x14ac:dyDescent="0.2">
      <c r="A39" s="1" t="s">
        <v>44</v>
      </c>
      <c r="B39" s="2">
        <v>4.2905092592592592E-2</v>
      </c>
      <c r="C39" s="11">
        <v>22.63</v>
      </c>
      <c r="D39" s="13">
        <v>153</v>
      </c>
      <c r="E39" s="9">
        <v>21.9</v>
      </c>
      <c r="F39">
        <v>215</v>
      </c>
      <c r="G39" t="s">
        <v>5</v>
      </c>
    </row>
    <row r="40" spans="1:7" x14ac:dyDescent="0.2">
      <c r="A40" s="1" t="s">
        <v>784</v>
      </c>
      <c r="B40" s="2">
        <v>5.6944444444444443E-2</v>
      </c>
      <c r="C40" s="11">
        <v>27</v>
      </c>
      <c r="D40">
        <v>145</v>
      </c>
      <c r="E40" s="12">
        <v>19.8</v>
      </c>
      <c r="F40" s="13">
        <v>235</v>
      </c>
      <c r="G40" s="6" t="s">
        <v>645</v>
      </c>
    </row>
    <row r="41" spans="1:7" x14ac:dyDescent="0.2">
      <c r="A41" s="1" t="s">
        <v>848</v>
      </c>
      <c r="B41" s="2">
        <v>3.9162348877374784E-2</v>
      </c>
      <c r="C41" s="11">
        <v>18.14</v>
      </c>
      <c r="D41">
        <v>145</v>
      </c>
      <c r="E41" s="12">
        <v>19.3</v>
      </c>
      <c r="F41">
        <v>238</v>
      </c>
      <c r="G41" t="s">
        <v>398</v>
      </c>
    </row>
    <row r="42" spans="1:7" x14ac:dyDescent="0.2">
      <c r="A42" s="1" t="s">
        <v>53</v>
      </c>
      <c r="B42" s="2">
        <v>4.3009259259259254E-2</v>
      </c>
      <c r="C42" s="11">
        <v>22.53</v>
      </c>
      <c r="D42">
        <v>143</v>
      </c>
      <c r="E42" s="12">
        <v>21.8</v>
      </c>
      <c r="F42">
        <v>260</v>
      </c>
      <c r="G42" t="s">
        <v>6</v>
      </c>
    </row>
    <row r="43" spans="1:7" x14ac:dyDescent="0.2">
      <c r="A43" s="1" t="s">
        <v>552</v>
      </c>
      <c r="B43" s="2">
        <v>5.5289351851851853E-2</v>
      </c>
      <c r="C43" s="11">
        <v>28.3</v>
      </c>
      <c r="D43">
        <v>141</v>
      </c>
      <c r="E43" s="9">
        <v>21.3</v>
      </c>
      <c r="F43">
        <v>210</v>
      </c>
      <c r="G43" t="s">
        <v>6</v>
      </c>
    </row>
    <row r="44" spans="1:7" x14ac:dyDescent="0.2">
      <c r="A44" s="1" t="s">
        <v>762</v>
      </c>
      <c r="B44" s="2">
        <v>4.5138888888888888E-2</v>
      </c>
      <c r="C44" s="11">
        <v>20.399999999999999</v>
      </c>
      <c r="D44">
        <v>140</v>
      </c>
      <c r="E44" s="12">
        <v>18.830769230769228</v>
      </c>
      <c r="F44">
        <v>190</v>
      </c>
      <c r="G44" t="s">
        <v>645</v>
      </c>
    </row>
    <row r="45" spans="1:7" x14ac:dyDescent="0.2">
      <c r="A45" s="1" t="s">
        <v>481</v>
      </c>
      <c r="B45" s="2">
        <v>2.6388888888888889E-2</v>
      </c>
      <c r="C45" s="11">
        <v>12.9</v>
      </c>
      <c r="D45">
        <v>93</v>
      </c>
      <c r="E45" s="9">
        <v>19.3</v>
      </c>
      <c r="F45">
        <v>164</v>
      </c>
      <c r="G45" t="s">
        <v>398</v>
      </c>
    </row>
    <row r="46" spans="1:7" x14ac:dyDescent="0.2">
      <c r="A46" s="1" t="s">
        <v>305</v>
      </c>
      <c r="B46" s="2">
        <v>3.9837962962962964E-2</v>
      </c>
      <c r="C46" s="11">
        <v>17.739999999999998</v>
      </c>
      <c r="D46">
        <v>91</v>
      </c>
      <c r="E46" s="9">
        <v>18.5</v>
      </c>
      <c r="F46">
        <v>207</v>
      </c>
      <c r="G46" t="s">
        <v>6</v>
      </c>
    </row>
  </sheetData>
  <sortState ref="A2:G46">
    <sortCondition descending="1" ref="D1"/>
  </sortState>
  <conditionalFormatting sqref="E1:E1048576">
    <cfRule type="cellIs" dxfId="1676" priority="149" stopIfTrue="1" operator="between">
      <formula>0</formula>
      <formula>19.99</formula>
    </cfRule>
    <cfRule type="cellIs" dxfId="1675" priority="150" stopIfTrue="1" operator="between">
      <formula>10</formula>
      <formula>24.99</formula>
    </cfRule>
    <cfRule type="cellIs" dxfId="1674" priority="151" stopIfTrue="1" operator="between">
      <formula>25</formula>
      <formula>99.99</formula>
    </cfRule>
  </conditionalFormatting>
  <conditionalFormatting sqref="B1:B1048576">
    <cfRule type="cellIs" dxfId="1673" priority="31" stopIfTrue="1" operator="between">
      <formula>0</formula>
      <formula>0.041666665</formula>
    </cfRule>
    <cfRule type="cellIs" dxfId="1672" priority="32" stopIfTrue="1" operator="between">
      <formula>0.0416666666666667</formula>
      <formula>0.124999884259259</formula>
    </cfRule>
    <cfRule type="cellIs" dxfId="1671" priority="33" stopIfTrue="1" operator="between">
      <formula>0.125</formula>
      <formula>0.166666550925926</formula>
    </cfRule>
    <cfRule type="cellIs" dxfId="1670" priority="34" stopIfTrue="1" operator="between">
      <formula>0.0833333333333333</formula>
      <formula>0.208333217592593</formula>
    </cfRule>
    <cfRule type="cellIs" dxfId="1669" priority="35" stopIfTrue="1" operator="between">
      <formula>0.208333333333333</formula>
      <formula>4.16666655092593</formula>
    </cfRule>
  </conditionalFormatting>
  <conditionalFormatting sqref="F1:F1048576">
    <cfRule type="cellIs" dxfId="1668" priority="25" stopIfTrue="1" operator="between">
      <formula>0</formula>
      <formula>399.99</formula>
    </cfRule>
    <cfRule type="cellIs" dxfId="1667" priority="26" stopIfTrue="1" operator="between">
      <formula>400</formula>
      <formula>449.99</formula>
    </cfRule>
    <cfRule type="cellIs" dxfId="1666" priority="27" stopIfTrue="1" operator="between">
      <formula>450</formula>
      <formula>499.99</formula>
    </cfRule>
    <cfRule type="cellIs" dxfId="1665" priority="28" stopIfTrue="1" operator="between">
      <formula>500</formula>
      <formula>549.99</formula>
    </cfRule>
    <cfRule type="cellIs" dxfId="1664" priority="29" stopIfTrue="1" operator="between">
      <formula>550</formula>
      <formula>599.99</formula>
    </cfRule>
  </conditionalFormatting>
  <conditionalFormatting sqref="F1:F1048576">
    <cfRule type="cellIs" dxfId="1663" priority="30" stopIfTrue="1" operator="between">
      <formula>600</formula>
      <formula>9999.99</formula>
    </cfRule>
  </conditionalFormatting>
  <conditionalFormatting sqref="G1:G1048576">
    <cfRule type="cellIs" dxfId="1662" priority="21" stopIfTrue="1" operator="equal">
      <formula>"CR"</formula>
    </cfRule>
    <cfRule type="cellIs" dxfId="1661" priority="22" stopIfTrue="1" operator="equal">
      <formula>"FB"</formula>
    </cfRule>
    <cfRule type="cellIs" dxfId="1660" priority="23" stopIfTrue="1" operator="equal">
      <formula>"RR"</formula>
    </cfRule>
    <cfRule type="cellIs" dxfId="1659" priority="24" stopIfTrue="1" operator="equal">
      <formula>"MTB"</formula>
    </cfRule>
  </conditionalFormatting>
  <conditionalFormatting sqref="A1:A1048576">
    <cfRule type="expression" dxfId="1658" priority="17" stopIfTrue="1">
      <formula>G1="CR"</formula>
    </cfRule>
    <cfRule type="expression" dxfId="1657" priority="18" stopIfTrue="1">
      <formula>G1="RR"</formula>
    </cfRule>
    <cfRule type="expression" dxfId="1656" priority="19" stopIfTrue="1">
      <formula>G1="FB"</formula>
    </cfRule>
    <cfRule type="expression" dxfId="1655" priority="20" stopIfTrue="1">
      <formula>G1="MTB"</formula>
    </cfRule>
  </conditionalFormatting>
  <conditionalFormatting sqref="C1:C1048576">
    <cfRule type="cellIs" dxfId="1654" priority="7" stopIfTrue="1" operator="between">
      <formula>0</formula>
      <formula>19.99</formula>
    </cfRule>
    <cfRule type="cellIs" dxfId="1653" priority="8" stopIfTrue="1" operator="between">
      <formula>20</formula>
      <formula>49.99</formula>
    </cfRule>
    <cfRule type="cellIs" dxfId="1652" priority="9" stopIfTrue="1" operator="between">
      <formula>50</formula>
      <formula>99.9999</formula>
    </cfRule>
    <cfRule type="cellIs" dxfId="1651" priority="10" stopIfTrue="1" operator="between">
      <formula>100</formula>
      <formula>9999</formula>
    </cfRule>
  </conditionalFormatting>
  <conditionalFormatting sqref="D1:D1048576">
    <cfRule type="cellIs" dxfId="1650" priority="1" stopIfTrue="1" operator="between">
      <formula>0</formula>
      <formula>99.99</formula>
    </cfRule>
    <cfRule type="cellIs" dxfId="1649" priority="2" stopIfTrue="1" operator="between">
      <formula>100</formula>
      <formula>499.99</formula>
    </cfRule>
    <cfRule type="cellIs" dxfId="1648" priority="3" stopIfTrue="1" operator="between">
      <formula>500</formula>
      <formula>999.99</formula>
    </cfRule>
    <cfRule type="cellIs" dxfId="1647" priority="4" stopIfTrue="1" operator="between">
      <formula>1000</formula>
      <formula>1499.99</formula>
    </cfRule>
    <cfRule type="cellIs" dxfId="1646" priority="5" stopIfTrue="1" operator="between">
      <formula>1500</formula>
      <formula>1999.99</formula>
    </cfRule>
  </conditionalFormatting>
  <conditionalFormatting sqref="D1:D1048576">
    <cfRule type="cellIs" dxfId="1645" priority="6" stopIfTrue="1" operator="between">
      <formula>2000</formula>
      <formula>9999.99</formula>
    </cfRule>
  </conditionalFormatting>
  <hyperlinks>
    <hyperlink ref="A1" r:id="rId1" tooltip="Normalstartpunkt für Touren ohne Anfahrt"/>
  </hyperlinks>
  <pageMargins left="0.7" right="0.7" top="0.78740157499999996" bottom="0.78740157499999996" header="0.3" footer="0.3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L4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style="1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6" width="10.28515625" bestFit="1" customWidth="1"/>
    <col min="7" max="7" width="5.85546875" customWidth="1"/>
    <col min="8" max="16384" width="11.42578125" style="198"/>
  </cols>
  <sheetData>
    <row r="1" spans="1:7" s="227" customFormat="1" x14ac:dyDescent="0.2">
      <c r="A1" s="197" t="s">
        <v>55</v>
      </c>
      <c r="B1" s="75" t="s">
        <v>0</v>
      </c>
      <c r="C1" s="232" t="s">
        <v>243</v>
      </c>
      <c r="D1" s="366" t="s">
        <v>2</v>
      </c>
      <c r="E1" s="23" t="s">
        <v>242</v>
      </c>
      <c r="F1" s="76" t="s">
        <v>1</v>
      </c>
      <c r="G1" s="24" t="s">
        <v>3</v>
      </c>
    </row>
    <row r="2" spans="1:7" x14ac:dyDescent="0.2">
      <c r="A2" s="1" t="s">
        <v>602</v>
      </c>
      <c r="B2" s="2">
        <v>5.347222222222222E-2</v>
      </c>
      <c r="C2" s="14">
        <v>23.5</v>
      </c>
      <c r="D2" s="13">
        <v>490</v>
      </c>
      <c r="E2" s="12">
        <v>18.3</v>
      </c>
      <c r="F2" s="13">
        <v>460</v>
      </c>
      <c r="G2" s="6" t="s">
        <v>6</v>
      </c>
    </row>
    <row r="3" spans="1:7" x14ac:dyDescent="0.2">
      <c r="A3" s="1" t="s">
        <v>649</v>
      </c>
      <c r="B3" s="2">
        <v>8.5661080074487889E-2</v>
      </c>
      <c r="C3" s="11">
        <v>36.799999999999997</v>
      </c>
      <c r="D3" s="13">
        <v>488</v>
      </c>
      <c r="E3" s="12">
        <v>17.899999999999999</v>
      </c>
      <c r="F3" s="13">
        <v>416</v>
      </c>
      <c r="G3" s="6" t="s">
        <v>6</v>
      </c>
    </row>
    <row r="4" spans="1:7" x14ac:dyDescent="0.2">
      <c r="A4" s="1" t="s">
        <v>559</v>
      </c>
      <c r="B4" s="2">
        <v>5.9444444444444446E-2</v>
      </c>
      <c r="C4" s="11">
        <v>30.87</v>
      </c>
      <c r="D4" s="13">
        <v>478</v>
      </c>
      <c r="E4" s="12">
        <v>21.6</v>
      </c>
      <c r="F4" s="8">
        <v>481</v>
      </c>
      <c r="G4" s="6" t="s">
        <v>5</v>
      </c>
    </row>
    <row r="5" spans="1:7" x14ac:dyDescent="0.2">
      <c r="A5" s="1" t="s">
        <v>648</v>
      </c>
      <c r="B5" s="2">
        <v>6.9444444444444434E-2</v>
      </c>
      <c r="C5" s="3">
        <v>26</v>
      </c>
      <c r="D5" s="84">
        <v>477</v>
      </c>
      <c r="E5" s="12">
        <v>15.6</v>
      </c>
      <c r="F5" s="13">
        <v>460</v>
      </c>
      <c r="G5" s="6" t="s">
        <v>645</v>
      </c>
    </row>
    <row r="6" spans="1:7" x14ac:dyDescent="0.2">
      <c r="A6" s="1" t="s">
        <v>360</v>
      </c>
      <c r="B6" s="2">
        <v>8.711805555555556E-2</v>
      </c>
      <c r="C6" s="14">
        <v>43.62</v>
      </c>
      <c r="D6" s="13">
        <v>475</v>
      </c>
      <c r="E6" s="12">
        <v>20.8</v>
      </c>
      <c r="F6" s="13">
        <v>305</v>
      </c>
      <c r="G6" t="s">
        <v>5</v>
      </c>
    </row>
    <row r="7" spans="1:7" x14ac:dyDescent="0.2">
      <c r="A7" s="1" t="s">
        <v>12</v>
      </c>
      <c r="B7" s="2">
        <v>5.7824074074074076E-2</v>
      </c>
      <c r="C7" s="11">
        <v>32.659999999999997</v>
      </c>
      <c r="D7" s="13">
        <v>470</v>
      </c>
      <c r="E7" s="12">
        <v>23.5</v>
      </c>
      <c r="F7" s="13">
        <v>512</v>
      </c>
      <c r="G7" s="6" t="s">
        <v>5</v>
      </c>
    </row>
    <row r="8" spans="1:7" x14ac:dyDescent="0.2">
      <c r="A8" s="1" t="s">
        <v>855</v>
      </c>
      <c r="B8" s="2">
        <v>9.0277777777777776E-2</v>
      </c>
      <c r="C8" s="11">
        <v>51.3</v>
      </c>
      <c r="D8">
        <v>467</v>
      </c>
      <c r="E8" s="12">
        <v>23.7</v>
      </c>
      <c r="F8">
        <v>512</v>
      </c>
      <c r="G8" t="s">
        <v>5</v>
      </c>
    </row>
    <row r="9" spans="1:7" x14ac:dyDescent="0.2">
      <c r="A9" s="1" t="s">
        <v>64</v>
      </c>
      <c r="B9" s="2">
        <v>5.4479166666666669E-2</v>
      </c>
      <c r="C9" s="120">
        <v>18.03</v>
      </c>
      <c r="D9" s="13">
        <v>464</v>
      </c>
      <c r="E9" s="12">
        <v>13.7</v>
      </c>
      <c r="F9" s="13">
        <v>462</v>
      </c>
      <c r="G9" s="231" t="s">
        <v>6</v>
      </c>
    </row>
    <row r="10" spans="1:7" x14ac:dyDescent="0.2">
      <c r="A10" s="1" t="s">
        <v>659</v>
      </c>
      <c r="B10" s="2">
        <v>9.2361111111111116E-2</v>
      </c>
      <c r="C10" s="3">
        <v>35.200000000000003</v>
      </c>
      <c r="D10" s="5">
        <v>458.5</v>
      </c>
      <c r="E10" s="12">
        <v>15.879699248120302</v>
      </c>
      <c r="F10" s="13">
        <v>504</v>
      </c>
      <c r="G10" s="231" t="s">
        <v>6</v>
      </c>
    </row>
    <row r="11" spans="1:7" x14ac:dyDescent="0.2">
      <c r="A11" s="1" t="s">
        <v>626</v>
      </c>
      <c r="B11" s="2">
        <v>6.0185185185185182E-2</v>
      </c>
      <c r="C11" s="3">
        <v>19.5</v>
      </c>
      <c r="D11" s="8">
        <v>450</v>
      </c>
      <c r="E11" s="12">
        <v>13.5</v>
      </c>
      <c r="F11" s="13">
        <v>460</v>
      </c>
      <c r="G11" s="6" t="s">
        <v>6</v>
      </c>
    </row>
    <row r="12" spans="1:7" x14ac:dyDescent="0.2">
      <c r="A12" s="1" t="s">
        <v>503</v>
      </c>
      <c r="B12" s="2">
        <v>8.6805555555555566E-2</v>
      </c>
      <c r="C12" s="14">
        <v>43.6</v>
      </c>
      <c r="D12" s="13">
        <v>449</v>
      </c>
      <c r="E12" s="12">
        <v>20.8</v>
      </c>
      <c r="F12" s="8">
        <v>406</v>
      </c>
      <c r="G12" s="6" t="s">
        <v>398</v>
      </c>
    </row>
    <row r="13" spans="1:7" x14ac:dyDescent="0.2">
      <c r="A13" s="1" t="s">
        <v>462</v>
      </c>
      <c r="B13" s="2">
        <v>6.368055555555556E-2</v>
      </c>
      <c r="C13" s="3">
        <v>32.479999999999997</v>
      </c>
      <c r="D13" s="13">
        <v>445</v>
      </c>
      <c r="E13" s="12">
        <v>21.2</v>
      </c>
      <c r="F13" s="13">
        <v>481</v>
      </c>
      <c r="G13" s="6" t="s">
        <v>5</v>
      </c>
    </row>
    <row r="14" spans="1:7" x14ac:dyDescent="0.2">
      <c r="A14" s="1" t="s">
        <v>54</v>
      </c>
      <c r="B14" s="2">
        <v>6.5798611111111113E-2</v>
      </c>
      <c r="C14" s="11">
        <v>40.58</v>
      </c>
      <c r="D14" s="13">
        <v>441</v>
      </c>
      <c r="E14" s="12">
        <v>25.7</v>
      </c>
      <c r="F14" s="13">
        <v>516</v>
      </c>
      <c r="G14" s="233" t="s">
        <v>5</v>
      </c>
    </row>
    <row r="15" spans="1:7" x14ac:dyDescent="0.2">
      <c r="A15" s="1" t="s">
        <v>378</v>
      </c>
      <c r="B15" s="2">
        <v>8.3009259259259269E-2</v>
      </c>
      <c r="C15" s="14">
        <v>38.700000000000003</v>
      </c>
      <c r="D15" s="13">
        <v>440</v>
      </c>
      <c r="E15" s="12">
        <v>19.399999999999999</v>
      </c>
      <c r="F15" s="13">
        <v>512</v>
      </c>
      <c r="G15" s="6" t="s">
        <v>5</v>
      </c>
    </row>
    <row r="16" spans="1:7" x14ac:dyDescent="0.2">
      <c r="A16" s="1" t="s">
        <v>558</v>
      </c>
      <c r="B16" s="2">
        <v>5.4444444444444448E-2</v>
      </c>
      <c r="C16" s="14">
        <v>19.600000000000001</v>
      </c>
      <c r="D16" s="13">
        <v>440</v>
      </c>
      <c r="E16" s="12">
        <v>15</v>
      </c>
      <c r="F16" s="13">
        <v>460</v>
      </c>
      <c r="G16" t="s">
        <v>6</v>
      </c>
    </row>
    <row r="17" spans="1:7" x14ac:dyDescent="0.2">
      <c r="A17" s="1" t="s">
        <v>583</v>
      </c>
      <c r="B17" s="2">
        <v>4.1666666666666664E-2</v>
      </c>
      <c r="C17" s="14">
        <v>12.19</v>
      </c>
      <c r="D17" s="8">
        <v>440</v>
      </c>
      <c r="E17" s="12">
        <v>12.2</v>
      </c>
      <c r="F17" s="13">
        <v>418</v>
      </c>
      <c r="G17" s="6" t="s">
        <v>6</v>
      </c>
    </row>
    <row r="18" spans="1:7" x14ac:dyDescent="0.2">
      <c r="A18" s="1" t="s">
        <v>459</v>
      </c>
      <c r="B18" s="2">
        <v>8.4722222222222213E-2</v>
      </c>
      <c r="C18" s="3">
        <v>42.6</v>
      </c>
      <c r="D18" s="13">
        <v>437</v>
      </c>
      <c r="E18" s="12">
        <v>20.100000000000001</v>
      </c>
      <c r="F18" s="13">
        <v>380</v>
      </c>
      <c r="G18" t="s">
        <v>398</v>
      </c>
    </row>
    <row r="19" spans="1:7" x14ac:dyDescent="0.2">
      <c r="A19" s="1" t="s">
        <v>217</v>
      </c>
      <c r="B19" s="2">
        <v>6.1620370370370374E-2</v>
      </c>
      <c r="C19" s="3">
        <v>24.5</v>
      </c>
      <c r="D19" s="13">
        <v>437</v>
      </c>
      <c r="E19" s="12">
        <v>16.5</v>
      </c>
      <c r="F19" s="13">
        <v>466</v>
      </c>
      <c r="G19" s="6" t="s">
        <v>6</v>
      </c>
    </row>
    <row r="20" spans="1:7" x14ac:dyDescent="0.2">
      <c r="A20" s="1" t="s">
        <v>213</v>
      </c>
      <c r="B20" s="2">
        <v>6.0381944444444446E-2</v>
      </c>
      <c r="C20" s="14">
        <v>35</v>
      </c>
      <c r="D20" s="13">
        <v>435</v>
      </c>
      <c r="E20" s="12">
        <v>24.1</v>
      </c>
      <c r="F20" s="13">
        <v>504</v>
      </c>
      <c r="G20" s="16" t="s">
        <v>5</v>
      </c>
    </row>
    <row r="21" spans="1:7" x14ac:dyDescent="0.2">
      <c r="A21" s="1" t="s">
        <v>248</v>
      </c>
      <c r="B21" s="2">
        <v>6.069444444444444E-2</v>
      </c>
      <c r="C21" s="14">
        <v>33.39</v>
      </c>
      <c r="D21" s="8">
        <v>435</v>
      </c>
      <c r="E21" s="12">
        <v>22.9</v>
      </c>
      <c r="F21" s="13">
        <v>457</v>
      </c>
      <c r="G21" s="6" t="s">
        <v>5</v>
      </c>
    </row>
    <row r="22" spans="1:7" x14ac:dyDescent="0.2">
      <c r="A22" s="1" t="s">
        <v>431</v>
      </c>
      <c r="B22" s="2">
        <v>6.1134259259259256E-2</v>
      </c>
      <c r="C22" s="3">
        <v>19.77</v>
      </c>
      <c r="D22" s="13">
        <v>434</v>
      </c>
      <c r="E22" s="12">
        <v>13.4</v>
      </c>
      <c r="F22" s="13">
        <v>460</v>
      </c>
      <c r="G22" t="s">
        <v>6</v>
      </c>
    </row>
    <row r="23" spans="1:7" x14ac:dyDescent="0.2">
      <c r="A23" s="1" t="s">
        <v>475</v>
      </c>
      <c r="B23" s="2">
        <v>6.0462962962962961E-2</v>
      </c>
      <c r="C23" s="11">
        <v>20.09</v>
      </c>
      <c r="D23" s="13">
        <v>432</v>
      </c>
      <c r="E23" s="12">
        <v>13.8</v>
      </c>
      <c r="F23" s="13">
        <v>481</v>
      </c>
      <c r="G23" s="6" t="s">
        <v>6</v>
      </c>
    </row>
    <row r="24" spans="1:7" x14ac:dyDescent="0.2">
      <c r="A24" s="1" t="s">
        <v>181</v>
      </c>
      <c r="B24" s="2">
        <v>7.3680555555555555E-2</v>
      </c>
      <c r="C24" s="3">
        <v>34.82</v>
      </c>
      <c r="D24" s="8">
        <v>430</v>
      </c>
      <c r="E24" s="12">
        <v>19.600000000000001</v>
      </c>
      <c r="F24" s="13">
        <v>275</v>
      </c>
      <c r="G24" s="6" t="s">
        <v>6</v>
      </c>
    </row>
    <row r="25" spans="1:7" x14ac:dyDescent="0.2">
      <c r="A25" s="1" t="s">
        <v>560</v>
      </c>
      <c r="B25" s="2">
        <v>7.0055555555555551E-2</v>
      </c>
      <c r="C25" s="3">
        <v>25.22</v>
      </c>
      <c r="D25" s="13">
        <v>430</v>
      </c>
      <c r="E25" s="12">
        <v>15</v>
      </c>
      <c r="F25" s="13">
        <v>439</v>
      </c>
      <c r="G25" s="85" t="s">
        <v>6</v>
      </c>
    </row>
    <row r="26" spans="1:7" x14ac:dyDescent="0.2">
      <c r="A26" s="1" t="s">
        <v>664</v>
      </c>
      <c r="B26" s="2">
        <v>7.9166666666666663E-2</v>
      </c>
      <c r="C26" s="11">
        <v>39.5</v>
      </c>
      <c r="D26" s="8">
        <v>425</v>
      </c>
      <c r="E26" s="12">
        <v>20.8</v>
      </c>
      <c r="F26" s="13">
        <v>397</v>
      </c>
      <c r="G26" s="6" t="s">
        <v>645</v>
      </c>
    </row>
    <row r="27" spans="1:7" x14ac:dyDescent="0.2">
      <c r="A27" s="1" t="s">
        <v>182</v>
      </c>
      <c r="B27" s="2">
        <v>5.8553240740740746E-2</v>
      </c>
      <c r="C27" s="3">
        <v>26.2</v>
      </c>
      <c r="D27" s="13">
        <v>420</v>
      </c>
      <c r="E27" s="12">
        <v>18.600000000000001</v>
      </c>
      <c r="F27" s="13">
        <v>460</v>
      </c>
      <c r="G27" s="6" t="s">
        <v>6</v>
      </c>
    </row>
    <row r="28" spans="1:7" x14ac:dyDescent="0.2">
      <c r="A28" s="1" t="s">
        <v>644</v>
      </c>
      <c r="B28" s="2">
        <v>5.2777777777777778E-2</v>
      </c>
      <c r="C28" s="3">
        <v>18.38</v>
      </c>
      <c r="D28" s="13">
        <v>410</v>
      </c>
      <c r="E28" s="12">
        <v>14.5</v>
      </c>
      <c r="F28" s="13">
        <v>460</v>
      </c>
      <c r="G28" t="s">
        <v>645</v>
      </c>
    </row>
    <row r="29" spans="1:7" x14ac:dyDescent="0.2">
      <c r="A29" s="1" t="s">
        <v>214</v>
      </c>
      <c r="B29" s="2">
        <v>5.9733796296296299E-2</v>
      </c>
      <c r="C29" s="3">
        <v>33.14</v>
      </c>
      <c r="D29" s="8">
        <v>405</v>
      </c>
      <c r="E29" s="12">
        <v>23.1</v>
      </c>
      <c r="F29">
        <v>461</v>
      </c>
      <c r="G29" s="6" t="s">
        <v>5</v>
      </c>
    </row>
    <row r="30" spans="1:7" x14ac:dyDescent="0.2">
      <c r="A30" s="1" t="s">
        <v>86</v>
      </c>
      <c r="B30" s="2">
        <v>5.7465277777777775E-2</v>
      </c>
      <c r="C30" s="3">
        <v>35</v>
      </c>
      <c r="D30" s="13">
        <v>400</v>
      </c>
      <c r="E30" s="12">
        <v>25.377643504531722</v>
      </c>
      <c r="F30" s="13">
        <v>461</v>
      </c>
      <c r="G30" t="s">
        <v>5</v>
      </c>
    </row>
    <row r="31" spans="1:7" x14ac:dyDescent="0.2">
      <c r="A31" s="1" t="s">
        <v>47</v>
      </c>
      <c r="B31" s="2">
        <v>4.8263888888888884E-2</v>
      </c>
      <c r="C31" s="3">
        <v>27.05</v>
      </c>
      <c r="D31" s="13">
        <v>400</v>
      </c>
      <c r="E31" s="12">
        <v>23.3</v>
      </c>
      <c r="F31" s="13">
        <v>455</v>
      </c>
      <c r="G31" t="s">
        <v>5</v>
      </c>
    </row>
    <row r="32" spans="1:7" x14ac:dyDescent="0.2">
      <c r="A32" s="1" t="s">
        <v>776</v>
      </c>
      <c r="B32" s="2">
        <v>6.6666666666666666E-2</v>
      </c>
      <c r="C32" s="3">
        <v>26</v>
      </c>
      <c r="D32" s="13">
        <v>400</v>
      </c>
      <c r="E32" s="12">
        <v>16.25</v>
      </c>
      <c r="F32">
        <v>290</v>
      </c>
      <c r="G32" s="198" t="s">
        <v>645</v>
      </c>
    </row>
    <row r="33" spans="1:12" x14ac:dyDescent="0.2">
      <c r="A33" s="1" t="s">
        <v>463</v>
      </c>
      <c r="B33" s="2">
        <v>4.5590277777777778E-2</v>
      </c>
      <c r="C33" s="11">
        <v>23.17</v>
      </c>
      <c r="D33" s="13">
        <v>400</v>
      </c>
      <c r="E33" s="12">
        <v>21.2</v>
      </c>
      <c r="F33" s="13">
        <v>481</v>
      </c>
      <c r="G33" t="s">
        <v>5</v>
      </c>
    </row>
    <row r="34" spans="1:12" x14ac:dyDescent="0.2">
      <c r="A34" s="1" t="s">
        <v>473</v>
      </c>
      <c r="B34" s="2">
        <v>4.8611111111111112E-2</v>
      </c>
      <c r="C34" s="11">
        <v>17.559999999999999</v>
      </c>
      <c r="D34" s="13">
        <v>394</v>
      </c>
      <c r="E34" s="12">
        <v>15.1</v>
      </c>
      <c r="F34" s="13">
        <v>481</v>
      </c>
      <c r="G34" t="s">
        <v>6</v>
      </c>
    </row>
    <row r="35" spans="1:12" x14ac:dyDescent="0.2">
      <c r="A35" s="1" t="s">
        <v>662</v>
      </c>
      <c r="B35" s="2">
        <v>7.9861111111111105E-2</v>
      </c>
      <c r="C35" s="11">
        <v>35.1</v>
      </c>
      <c r="D35">
        <v>385</v>
      </c>
      <c r="E35" s="12">
        <v>18.3</v>
      </c>
      <c r="F35" s="13">
        <v>341</v>
      </c>
      <c r="G35" t="s">
        <v>645</v>
      </c>
      <c r="H35" s="150"/>
      <c r="L35" s="63"/>
    </row>
    <row r="36" spans="1:12" x14ac:dyDescent="0.2">
      <c r="A36" s="1" t="s">
        <v>547</v>
      </c>
      <c r="B36" s="2">
        <v>4.8611111111111112E-2</v>
      </c>
      <c r="C36" s="11">
        <v>16.3</v>
      </c>
      <c r="D36">
        <v>385</v>
      </c>
      <c r="E36" s="12">
        <v>14</v>
      </c>
      <c r="F36" s="13">
        <v>420</v>
      </c>
      <c r="G36" t="s">
        <v>6</v>
      </c>
      <c r="H36" s="332"/>
      <c r="I36" s="103"/>
      <c r="J36" s="331"/>
      <c r="K36" s="150"/>
      <c r="L36" s="227"/>
    </row>
    <row r="37" spans="1:12" x14ac:dyDescent="0.2">
      <c r="A37" s="1" t="s">
        <v>48</v>
      </c>
      <c r="B37" s="2">
        <v>6.5590277777777775E-2</v>
      </c>
      <c r="C37" s="11">
        <v>27.98</v>
      </c>
      <c r="D37">
        <v>376</v>
      </c>
      <c r="E37" s="12">
        <v>17.7</v>
      </c>
      <c r="F37" s="13">
        <v>495</v>
      </c>
      <c r="G37" t="s">
        <v>6</v>
      </c>
      <c r="J37" s="63"/>
    </row>
    <row r="38" spans="1:12" x14ac:dyDescent="0.2">
      <c r="A38" s="1" t="s">
        <v>164</v>
      </c>
      <c r="B38" s="2">
        <v>6.2569444444444441E-2</v>
      </c>
      <c r="C38" s="11">
        <v>25.08</v>
      </c>
      <c r="D38">
        <v>375</v>
      </c>
      <c r="E38" s="12">
        <v>16.7</v>
      </c>
      <c r="F38" s="13">
        <v>501</v>
      </c>
      <c r="G38" t="s">
        <v>6</v>
      </c>
      <c r="J38" s="63"/>
    </row>
    <row r="39" spans="1:12" x14ac:dyDescent="0.2">
      <c r="A39" s="1" t="s">
        <v>371</v>
      </c>
      <c r="B39" s="2">
        <v>8.1423611111111113E-2</v>
      </c>
      <c r="C39" s="11">
        <v>41.63</v>
      </c>
      <c r="D39">
        <v>370</v>
      </c>
      <c r="E39" s="12">
        <v>21.3</v>
      </c>
      <c r="F39">
        <v>315</v>
      </c>
      <c r="G39" t="s">
        <v>5</v>
      </c>
    </row>
    <row r="40" spans="1:12" x14ac:dyDescent="0.2">
      <c r="A40" s="1" t="s">
        <v>951</v>
      </c>
      <c r="B40" s="2">
        <v>9.1304347826086943E-2</v>
      </c>
      <c r="C40" s="11">
        <v>50.4</v>
      </c>
      <c r="D40">
        <v>370</v>
      </c>
      <c r="E40" s="12">
        <v>23</v>
      </c>
      <c r="F40">
        <v>270</v>
      </c>
      <c r="G40" t="s">
        <v>398</v>
      </c>
    </row>
    <row r="41" spans="1:12" x14ac:dyDescent="0.2">
      <c r="A41" s="1" t="s">
        <v>622</v>
      </c>
      <c r="B41" s="2">
        <v>3.9567430025445285E-2</v>
      </c>
      <c r="C41" s="11">
        <v>12.439999999999998</v>
      </c>
      <c r="D41">
        <v>364</v>
      </c>
      <c r="E41" s="12">
        <v>13.1</v>
      </c>
      <c r="F41">
        <v>452</v>
      </c>
      <c r="G41" t="s">
        <v>6</v>
      </c>
    </row>
    <row r="42" spans="1:12" x14ac:dyDescent="0.2">
      <c r="A42" s="1" t="s">
        <v>950</v>
      </c>
      <c r="B42" s="2">
        <v>7.9861111111111105E-2</v>
      </c>
      <c r="C42" s="11">
        <v>46.01</v>
      </c>
      <c r="D42">
        <v>362</v>
      </c>
      <c r="E42" s="12">
        <v>24.005217391304349</v>
      </c>
      <c r="F42">
        <v>270</v>
      </c>
      <c r="G42" t="s">
        <v>398</v>
      </c>
    </row>
    <row r="43" spans="1:12" x14ac:dyDescent="0.2">
      <c r="A43" s="1" t="s">
        <v>623</v>
      </c>
      <c r="B43" s="2">
        <v>5.9027777777777783E-2</v>
      </c>
      <c r="C43" s="11">
        <v>20.3</v>
      </c>
      <c r="D43">
        <v>360</v>
      </c>
      <c r="E43" s="12">
        <v>14.1</v>
      </c>
      <c r="F43">
        <v>481</v>
      </c>
      <c r="G43" t="s">
        <v>6</v>
      </c>
    </row>
    <row r="44" spans="1:12" x14ac:dyDescent="0.2">
      <c r="A44" s="1" t="s">
        <v>624</v>
      </c>
      <c r="B44" s="2">
        <v>4.8611111111111112E-2</v>
      </c>
      <c r="C44" s="11">
        <v>15.9</v>
      </c>
      <c r="D44">
        <v>359</v>
      </c>
      <c r="E44" s="12">
        <v>13.628571428571428</v>
      </c>
      <c r="F44">
        <v>481</v>
      </c>
      <c r="G44" t="s">
        <v>6</v>
      </c>
    </row>
    <row r="45" spans="1:12" x14ac:dyDescent="0.2">
      <c r="A45" s="1" t="s">
        <v>365</v>
      </c>
      <c r="B45" s="2">
        <v>6.4942129629629627E-2</v>
      </c>
      <c r="C45" s="11">
        <v>19.670000000000002</v>
      </c>
      <c r="D45">
        <v>357</v>
      </c>
      <c r="E45" s="12">
        <v>12.6</v>
      </c>
      <c r="F45">
        <v>435</v>
      </c>
      <c r="G45" t="s">
        <v>6</v>
      </c>
    </row>
    <row r="46" spans="1:12" x14ac:dyDescent="0.2">
      <c r="A46" s="1" t="s">
        <v>952</v>
      </c>
      <c r="B46" s="2">
        <v>3.875E-2</v>
      </c>
      <c r="C46" s="11">
        <v>12.85</v>
      </c>
      <c r="D46">
        <v>354</v>
      </c>
      <c r="E46" s="12">
        <v>13.8</v>
      </c>
      <c r="F46">
        <v>481</v>
      </c>
      <c r="G46" t="s">
        <v>6</v>
      </c>
    </row>
    <row r="47" spans="1:12" x14ac:dyDescent="0.2">
      <c r="A47" s="1" t="s">
        <v>368</v>
      </c>
      <c r="B47" s="2">
        <v>4.2361111111111106E-2</v>
      </c>
      <c r="C47" s="11">
        <v>12.46</v>
      </c>
      <c r="D47">
        <v>351</v>
      </c>
      <c r="E47" s="12">
        <v>12.3</v>
      </c>
      <c r="F47">
        <v>429</v>
      </c>
      <c r="G47" t="s">
        <v>6</v>
      </c>
    </row>
    <row r="48" spans="1:12" x14ac:dyDescent="0.2">
      <c r="A48" s="1" t="s">
        <v>774</v>
      </c>
      <c r="B48" s="2">
        <v>7.6746542680019111E-2</v>
      </c>
      <c r="C48" s="11">
        <v>50</v>
      </c>
      <c r="D48">
        <v>350</v>
      </c>
      <c r="E48" s="12">
        <v>27.145631067961151</v>
      </c>
      <c r="F48">
        <v>330</v>
      </c>
      <c r="G48" t="s">
        <v>5</v>
      </c>
    </row>
  </sheetData>
  <sortState ref="A2:G48">
    <sortCondition descending="1" ref="D1"/>
  </sortState>
  <phoneticPr fontId="0" type="noConversion"/>
  <conditionalFormatting sqref="F1:F1048576">
    <cfRule type="cellIs" dxfId="1644" priority="28" stopIfTrue="1" operator="between">
      <formula>0</formula>
      <formula>399.99</formula>
    </cfRule>
    <cfRule type="cellIs" dxfId="1643" priority="29" stopIfTrue="1" operator="between">
      <formula>400</formula>
      <formula>449.99</formula>
    </cfRule>
    <cfRule type="cellIs" dxfId="1642" priority="30" stopIfTrue="1" operator="between">
      <formula>450</formula>
      <formula>499.99</formula>
    </cfRule>
    <cfRule type="cellIs" dxfId="1641" priority="31" stopIfTrue="1" operator="between">
      <formula>500</formula>
      <formula>549.99</formula>
    </cfRule>
    <cfRule type="cellIs" dxfId="1640" priority="32" stopIfTrue="1" operator="between">
      <formula>550</formula>
      <formula>599.99</formula>
    </cfRule>
  </conditionalFormatting>
  <conditionalFormatting sqref="F1:F1048576">
    <cfRule type="cellIs" dxfId="1639" priority="33" stopIfTrue="1" operator="between">
      <formula>600</formula>
      <formula>9999.99</formula>
    </cfRule>
  </conditionalFormatting>
  <conditionalFormatting sqref="B1:B1048576">
    <cfRule type="cellIs" dxfId="1638" priority="37" stopIfTrue="1" operator="between">
      <formula>0</formula>
      <formula>0.041666665</formula>
    </cfRule>
    <cfRule type="cellIs" dxfId="1637" priority="38" stopIfTrue="1" operator="between">
      <formula>0.0416666666666667</formula>
      <formula>0.124999884259259</formula>
    </cfRule>
    <cfRule type="cellIs" dxfId="1636" priority="51" stopIfTrue="1" operator="between">
      <formula>0.125</formula>
      <formula>0.166666550925926</formula>
    </cfRule>
    <cfRule type="cellIs" dxfId="1635" priority="52" stopIfTrue="1" operator="between">
      <formula>0.0833333333333333</formula>
      <formula>0.208333217592593</formula>
    </cfRule>
    <cfRule type="cellIs" dxfId="1634" priority="53" stopIfTrue="1" operator="between">
      <formula>0.208333333333333</formula>
      <formula>4.16666655092593</formula>
    </cfRule>
  </conditionalFormatting>
  <conditionalFormatting sqref="E1:E1048576">
    <cfRule type="cellIs" dxfId="1633" priority="48" stopIfTrue="1" operator="between">
      <formula>0</formula>
      <formula>19.99</formula>
    </cfRule>
    <cfRule type="cellIs" dxfId="1632" priority="49" stopIfTrue="1" operator="between">
      <formula>10</formula>
      <formula>24.99</formula>
    </cfRule>
    <cfRule type="cellIs" dxfId="1631" priority="50" stopIfTrue="1" operator="between">
      <formula>25</formula>
      <formula>99.99</formula>
    </cfRule>
  </conditionalFormatting>
  <conditionalFormatting sqref="A1:A1048576">
    <cfRule type="expression" dxfId="1630" priority="21" stopIfTrue="1">
      <formula>G1="CR"</formula>
    </cfRule>
    <cfRule type="expression" dxfId="1629" priority="22" stopIfTrue="1">
      <formula>G1="RR"</formula>
    </cfRule>
    <cfRule type="expression" dxfId="1628" priority="23" stopIfTrue="1">
      <formula>G1="FB"</formula>
    </cfRule>
    <cfRule type="expression" dxfId="1627" priority="24" stopIfTrue="1">
      <formula>G1="MTB"</formula>
    </cfRule>
  </conditionalFormatting>
  <conditionalFormatting sqref="G1:G1048576">
    <cfRule type="cellIs" dxfId="1626" priority="11" stopIfTrue="1" operator="equal">
      <formula>"CR"</formula>
    </cfRule>
    <cfRule type="cellIs" dxfId="1625" priority="12" stopIfTrue="1" operator="equal">
      <formula>"FB"</formula>
    </cfRule>
    <cfRule type="cellIs" dxfId="1624" priority="13" stopIfTrue="1" operator="equal">
      <formula>"RR"</formula>
    </cfRule>
    <cfRule type="cellIs" dxfId="1623" priority="14" stopIfTrue="1" operator="equal">
      <formula>"MTB"</formula>
    </cfRule>
  </conditionalFormatting>
  <conditionalFormatting sqref="C1:C1048576">
    <cfRule type="cellIs" dxfId="1622" priority="7" stopIfTrue="1" operator="between">
      <formula>0</formula>
      <formula>19.99</formula>
    </cfRule>
    <cfRule type="cellIs" dxfId="1621" priority="8" stopIfTrue="1" operator="between">
      <formula>20</formula>
      <formula>49.99</formula>
    </cfRule>
    <cfRule type="cellIs" dxfId="1620" priority="9" stopIfTrue="1" operator="between">
      <formula>50</formula>
      <formula>99.9999</formula>
    </cfRule>
    <cfRule type="cellIs" dxfId="1619" priority="10" stopIfTrue="1" operator="between">
      <formula>100</formula>
      <formula>9999</formula>
    </cfRule>
  </conditionalFormatting>
  <conditionalFormatting sqref="D1:D1048576">
    <cfRule type="cellIs" dxfId="1618" priority="1" stopIfTrue="1" operator="between">
      <formula>0</formula>
      <formula>99.99</formula>
    </cfRule>
    <cfRule type="cellIs" dxfId="1617" priority="2" stopIfTrue="1" operator="between">
      <formula>100</formula>
      <formula>499.99</formula>
    </cfRule>
    <cfRule type="cellIs" dxfId="1616" priority="3" stopIfTrue="1" operator="between">
      <formula>500</formula>
      <formula>999.99</formula>
    </cfRule>
    <cfRule type="cellIs" dxfId="1615" priority="4" stopIfTrue="1" operator="between">
      <formula>1000</formula>
      <formula>1499.99</formula>
    </cfRule>
    <cfRule type="cellIs" dxfId="1614" priority="5" stopIfTrue="1" operator="between">
      <formula>1500</formula>
      <formula>1999.99</formula>
    </cfRule>
  </conditionalFormatting>
  <conditionalFormatting sqref="D1:D1048576">
    <cfRule type="cellIs" dxfId="1613" priority="6" stopIfTrue="1" operator="between">
      <formula>2000</formula>
      <formula>9999.99</formula>
    </cfRule>
  </conditionalFormatting>
  <hyperlinks>
    <hyperlink ref="A1" r:id="rId1" tooltip="Normalstartpunkt für Touren ohne Anfahrt"/>
  </hyperlinks>
  <pageMargins left="0.78740157499999996" right="0.78740157499999996" top="0.984251969" bottom="0.984251969" header="0.4921259845" footer="0.4921259845"/>
  <pageSetup paperSize="9" orientation="portrait" horizontalDpi="4294967294" r:id="rId2"/>
  <headerFooter alignWithMargins="0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F0000"/>
  </sheetPr>
  <dimension ref="A1:H4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6" width="10.28515625" bestFit="1" customWidth="1"/>
    <col min="7" max="7" width="8.42578125" style="103" bestFit="1" customWidth="1"/>
    <col min="8" max="8" width="5.85546875" customWidth="1"/>
    <col min="9" max="16384" width="11.42578125" style="198"/>
  </cols>
  <sheetData>
    <row r="1" spans="1:8" s="227" customFormat="1" x14ac:dyDescent="0.2">
      <c r="A1" s="32" t="s">
        <v>55</v>
      </c>
      <c r="B1" s="75" t="s">
        <v>0</v>
      </c>
      <c r="C1" s="232" t="s">
        <v>243</v>
      </c>
      <c r="D1" s="366" t="s">
        <v>2</v>
      </c>
      <c r="E1" s="23" t="s">
        <v>242</v>
      </c>
      <c r="F1" s="76" t="s">
        <v>1</v>
      </c>
      <c r="G1" s="47" t="s">
        <v>221</v>
      </c>
      <c r="H1" s="24" t="s">
        <v>3</v>
      </c>
    </row>
    <row r="2" spans="1:8" x14ac:dyDescent="0.2">
      <c r="A2" s="1" t="s">
        <v>189</v>
      </c>
      <c r="B2" s="2">
        <v>0.11569444444444445</v>
      </c>
      <c r="C2" s="14">
        <v>62.14</v>
      </c>
      <c r="D2" s="13">
        <v>735</v>
      </c>
      <c r="E2" s="12">
        <v>22.3</v>
      </c>
      <c r="F2" s="13">
        <v>521</v>
      </c>
      <c r="G2" s="103">
        <v>311</v>
      </c>
      <c r="H2" s="6" t="s">
        <v>5</v>
      </c>
    </row>
    <row r="3" spans="1:8" x14ac:dyDescent="0.2">
      <c r="A3" s="1" t="s">
        <v>469</v>
      </c>
      <c r="B3" s="2">
        <v>9.7141203703703702E-2</v>
      </c>
      <c r="C3" s="11">
        <v>52.39</v>
      </c>
      <c r="D3" s="13">
        <v>735</v>
      </c>
      <c r="E3" s="12">
        <v>22.4</v>
      </c>
      <c r="F3" s="8">
        <v>457</v>
      </c>
      <c r="G3" s="103">
        <v>332</v>
      </c>
      <c r="H3" s="6" t="s">
        <v>5</v>
      </c>
    </row>
    <row r="4" spans="1:8" x14ac:dyDescent="0.2">
      <c r="A4" s="1" t="s">
        <v>185</v>
      </c>
      <c r="B4" s="2">
        <v>9.1319444444444453E-2</v>
      </c>
      <c r="C4" s="11">
        <v>51.74</v>
      </c>
      <c r="D4" s="13">
        <v>735</v>
      </c>
      <c r="E4" s="12">
        <v>23.6</v>
      </c>
      <c r="F4" s="13">
        <v>461</v>
      </c>
      <c r="G4" s="103">
        <v>323</v>
      </c>
      <c r="H4" s="6" t="s">
        <v>5</v>
      </c>
    </row>
    <row r="5" spans="1:8" x14ac:dyDescent="0.2">
      <c r="A5" s="1" t="s">
        <v>833</v>
      </c>
      <c r="B5" s="2">
        <v>0.10045662100456622</v>
      </c>
      <c r="C5" s="11">
        <v>52.800000000000004</v>
      </c>
      <c r="D5">
        <v>732</v>
      </c>
      <c r="E5" s="12">
        <v>21.9</v>
      </c>
      <c r="F5" s="84">
        <v>505</v>
      </c>
      <c r="G5" s="103">
        <v>284</v>
      </c>
      <c r="H5" s="387" t="s">
        <v>5</v>
      </c>
    </row>
    <row r="6" spans="1:8" x14ac:dyDescent="0.2">
      <c r="A6" s="1" t="s">
        <v>399</v>
      </c>
      <c r="B6" s="2">
        <v>0.10210648148148149</v>
      </c>
      <c r="C6" s="3">
        <v>34.93</v>
      </c>
      <c r="D6" s="84">
        <v>721</v>
      </c>
      <c r="E6" s="12">
        <v>14.2</v>
      </c>
      <c r="F6" s="13">
        <v>456</v>
      </c>
      <c r="G6" s="103">
        <v>300</v>
      </c>
      <c r="H6" s="6" t="s">
        <v>6</v>
      </c>
    </row>
    <row r="7" spans="1:8" x14ac:dyDescent="0.2">
      <c r="A7" s="1" t="s">
        <v>253</v>
      </c>
      <c r="B7" s="2">
        <v>0.11193287037037036</v>
      </c>
      <c r="C7" s="14">
        <v>58.74</v>
      </c>
      <c r="D7" s="13">
        <v>716</v>
      </c>
      <c r="E7" s="12">
        <v>21.8</v>
      </c>
      <c r="F7" s="13">
        <v>448</v>
      </c>
      <c r="G7" s="103">
        <v>204</v>
      </c>
      <c r="H7" t="s">
        <v>5</v>
      </c>
    </row>
    <row r="8" spans="1:8" x14ac:dyDescent="0.2">
      <c r="A8" s="1" t="s">
        <v>616</v>
      </c>
      <c r="B8" s="2">
        <v>9.9872685185185175E-2</v>
      </c>
      <c r="C8" s="11">
        <v>56.58</v>
      </c>
      <c r="D8" s="13">
        <v>710</v>
      </c>
      <c r="E8" s="12">
        <v>23.6</v>
      </c>
      <c r="F8" s="13">
        <v>440</v>
      </c>
      <c r="G8" s="103">
        <v>210</v>
      </c>
      <c r="H8" s="6" t="s">
        <v>5</v>
      </c>
    </row>
    <row r="9" spans="1:8" x14ac:dyDescent="0.2">
      <c r="A9" s="1" t="s">
        <v>734</v>
      </c>
      <c r="B9" s="2">
        <v>7.2124756335282647E-2</v>
      </c>
      <c r="C9" s="120">
        <v>29.6</v>
      </c>
      <c r="D9" s="13">
        <v>710</v>
      </c>
      <c r="E9" s="12">
        <v>17.100000000000001</v>
      </c>
      <c r="F9" s="13">
        <v>420</v>
      </c>
      <c r="G9" s="103">
        <v>290</v>
      </c>
      <c r="H9" s="198" t="s">
        <v>645</v>
      </c>
    </row>
    <row r="10" spans="1:8" x14ac:dyDescent="0.2">
      <c r="A10" s="1" t="s">
        <v>447</v>
      </c>
      <c r="B10" s="2">
        <v>0.11458333333333333</v>
      </c>
      <c r="C10" s="3">
        <v>60.2</v>
      </c>
      <c r="D10" s="5">
        <v>696</v>
      </c>
      <c r="E10" s="12">
        <v>21.9</v>
      </c>
      <c r="F10" s="13">
        <v>397</v>
      </c>
      <c r="G10" s="103">
        <v>222</v>
      </c>
      <c r="H10" s="231" t="s">
        <v>398</v>
      </c>
    </row>
    <row r="11" spans="1:8" x14ac:dyDescent="0.2">
      <c r="A11" s="1" t="s">
        <v>532</v>
      </c>
      <c r="B11" s="2">
        <v>8.3437499999999998E-2</v>
      </c>
      <c r="C11" s="3">
        <v>43.77</v>
      </c>
      <c r="D11" s="8">
        <v>689</v>
      </c>
      <c r="E11" s="12">
        <v>21.8</v>
      </c>
      <c r="F11" s="13">
        <v>481</v>
      </c>
      <c r="G11" s="103">
        <v>303</v>
      </c>
      <c r="H11" s="231" t="s">
        <v>5</v>
      </c>
    </row>
    <row r="12" spans="1:8" x14ac:dyDescent="0.2">
      <c r="A12" s="1" t="s">
        <v>264</v>
      </c>
      <c r="B12" s="2">
        <v>0.10696759259259259</v>
      </c>
      <c r="C12" s="14">
        <v>39.950000000000003</v>
      </c>
      <c r="D12" s="13">
        <v>676</v>
      </c>
      <c r="E12" s="12">
        <v>15.5</v>
      </c>
      <c r="F12" s="13">
        <v>505</v>
      </c>
      <c r="G12" s="103">
        <v>355</v>
      </c>
      <c r="H12" s="6" t="s">
        <v>6</v>
      </c>
    </row>
    <row r="13" spans="1:8" x14ac:dyDescent="0.2">
      <c r="A13" s="1" t="s">
        <v>361</v>
      </c>
      <c r="B13" s="2">
        <v>9.5416666666666664E-2</v>
      </c>
      <c r="C13" s="3">
        <v>48.09</v>
      </c>
      <c r="D13" s="13">
        <v>652</v>
      </c>
      <c r="E13" s="12">
        <v>21</v>
      </c>
      <c r="F13" s="13">
        <v>462</v>
      </c>
      <c r="G13" s="103">
        <v>323</v>
      </c>
      <c r="H13" s="6" t="s">
        <v>398</v>
      </c>
    </row>
    <row r="14" spans="1:8" x14ac:dyDescent="0.2">
      <c r="A14" s="1" t="s">
        <v>291</v>
      </c>
      <c r="B14" s="2">
        <v>9.8043981481481482E-2</v>
      </c>
      <c r="C14" s="11">
        <v>52.97</v>
      </c>
      <c r="D14" s="13">
        <v>650</v>
      </c>
      <c r="E14" s="12">
        <v>22.5</v>
      </c>
      <c r="F14" s="13">
        <v>447</v>
      </c>
      <c r="G14" s="103">
        <v>204</v>
      </c>
      <c r="H14" s="6" t="s">
        <v>5</v>
      </c>
    </row>
    <row r="15" spans="1:8" x14ac:dyDescent="0.2">
      <c r="A15" s="1" t="s">
        <v>903</v>
      </c>
      <c r="B15" s="2">
        <v>9.0277777777777776E-2</v>
      </c>
      <c r="C15" s="11">
        <v>50.2</v>
      </c>
      <c r="D15">
        <v>648</v>
      </c>
      <c r="E15" s="12">
        <v>23.169230769230772</v>
      </c>
      <c r="F15" s="84">
        <v>457</v>
      </c>
      <c r="G15" s="103">
        <v>290</v>
      </c>
      <c r="H15" s="387" t="s">
        <v>5</v>
      </c>
    </row>
    <row r="16" spans="1:8" x14ac:dyDescent="0.2">
      <c r="A16" s="1" t="s">
        <v>290</v>
      </c>
      <c r="B16" s="2">
        <v>0.10050925925925926</v>
      </c>
      <c r="C16" s="14">
        <v>53.67</v>
      </c>
      <c r="D16" s="13">
        <v>645</v>
      </c>
      <c r="E16" s="12">
        <v>22.2</v>
      </c>
      <c r="F16" s="13">
        <v>457</v>
      </c>
      <c r="G16" s="103">
        <v>204</v>
      </c>
      <c r="H16" s="233" t="s">
        <v>5</v>
      </c>
    </row>
    <row r="17" spans="1:8" x14ac:dyDescent="0.2">
      <c r="A17" s="1" t="s">
        <v>689</v>
      </c>
      <c r="B17" s="2">
        <v>5.5555555555555552E-2</v>
      </c>
      <c r="C17" s="14">
        <v>23.2</v>
      </c>
      <c r="D17" s="13">
        <v>640</v>
      </c>
      <c r="E17" s="12">
        <v>17.399999999999999</v>
      </c>
      <c r="F17" s="13">
        <v>460</v>
      </c>
      <c r="G17" s="103">
        <v>328</v>
      </c>
      <c r="H17" s="6" t="s">
        <v>6</v>
      </c>
    </row>
    <row r="18" spans="1:8" x14ac:dyDescent="0.2">
      <c r="A18" s="1" t="s">
        <v>246</v>
      </c>
      <c r="B18" s="2">
        <v>8.9548611111111107E-2</v>
      </c>
      <c r="C18" s="14">
        <v>45.31</v>
      </c>
      <c r="D18" s="8">
        <v>632</v>
      </c>
      <c r="E18" s="12">
        <v>21</v>
      </c>
      <c r="F18" s="13">
        <v>481</v>
      </c>
      <c r="G18" s="103">
        <v>303</v>
      </c>
      <c r="H18" t="s">
        <v>5</v>
      </c>
    </row>
    <row r="19" spans="1:8" x14ac:dyDescent="0.2">
      <c r="A19" s="1" t="s">
        <v>257</v>
      </c>
      <c r="B19" s="2">
        <v>0.12876157407407407</v>
      </c>
      <c r="C19" s="3">
        <v>73.650000000000006</v>
      </c>
      <c r="D19" s="13">
        <v>630</v>
      </c>
      <c r="E19" s="12">
        <v>23.8</v>
      </c>
      <c r="F19" s="13">
        <v>547</v>
      </c>
      <c r="G19" s="103">
        <v>225</v>
      </c>
      <c r="H19" s="6" t="s">
        <v>5</v>
      </c>
    </row>
    <row r="20" spans="1:8" x14ac:dyDescent="0.2">
      <c r="A20" s="1" t="s">
        <v>727</v>
      </c>
      <c r="B20" s="2">
        <v>8.3333333333333329E-2</v>
      </c>
      <c r="C20" s="3">
        <v>31.6</v>
      </c>
      <c r="D20" s="13">
        <v>616</v>
      </c>
      <c r="E20" s="12">
        <v>15.8</v>
      </c>
      <c r="F20" s="13">
        <v>460</v>
      </c>
      <c r="G20" s="103">
        <v>140</v>
      </c>
      <c r="H20" t="s">
        <v>645</v>
      </c>
    </row>
    <row r="21" spans="1:8" x14ac:dyDescent="0.2">
      <c r="A21" s="1" t="s">
        <v>377</v>
      </c>
      <c r="B21" s="2">
        <v>0.11120370370370369</v>
      </c>
      <c r="C21" s="14">
        <v>34.17</v>
      </c>
      <c r="D21" s="8">
        <v>615</v>
      </c>
      <c r="E21" s="12">
        <v>12.8</v>
      </c>
      <c r="F21" s="13">
        <v>456</v>
      </c>
      <c r="G21" s="103">
        <v>300</v>
      </c>
      <c r="H21" s="6" t="s">
        <v>6</v>
      </c>
    </row>
    <row r="22" spans="1:8" x14ac:dyDescent="0.2">
      <c r="A22" s="1" t="s">
        <v>394</v>
      </c>
      <c r="B22" s="2">
        <v>9.4768518518518516E-2</v>
      </c>
      <c r="C22" s="14">
        <v>49.36</v>
      </c>
      <c r="D22" s="13">
        <v>611</v>
      </c>
      <c r="E22" s="12">
        <v>21.7</v>
      </c>
      <c r="F22" s="13">
        <v>315</v>
      </c>
      <c r="G22" s="103">
        <v>177</v>
      </c>
      <c r="H22" t="s">
        <v>5</v>
      </c>
    </row>
    <row r="23" spans="1:8" x14ac:dyDescent="0.2">
      <c r="A23" s="1" t="s">
        <v>192</v>
      </c>
      <c r="B23" s="2">
        <v>8.5567129629629632E-2</v>
      </c>
      <c r="C23" s="3">
        <v>30.11</v>
      </c>
      <c r="D23" s="13">
        <v>606</v>
      </c>
      <c r="E23" s="12">
        <v>14.6</v>
      </c>
      <c r="F23" s="13">
        <v>512</v>
      </c>
      <c r="G23" s="103">
        <v>320</v>
      </c>
      <c r="H23" s="6" t="s">
        <v>6</v>
      </c>
    </row>
    <row r="24" spans="1:8" x14ac:dyDescent="0.2">
      <c r="A24" s="1" t="s">
        <v>256</v>
      </c>
      <c r="B24" s="2">
        <v>0.10728009259259259</v>
      </c>
      <c r="C24" s="11">
        <v>65.25</v>
      </c>
      <c r="D24" s="13">
        <v>605</v>
      </c>
      <c r="E24" s="12">
        <v>25.3</v>
      </c>
      <c r="F24" s="13">
        <v>544</v>
      </c>
      <c r="G24" s="103">
        <v>288</v>
      </c>
      <c r="H24" t="s">
        <v>5</v>
      </c>
    </row>
    <row r="25" spans="1:8" x14ac:dyDescent="0.2">
      <c r="A25" s="1" t="s">
        <v>710</v>
      </c>
      <c r="B25" s="2">
        <v>6.4611486486486486E-2</v>
      </c>
      <c r="C25" s="11">
        <v>22.95</v>
      </c>
      <c r="D25" s="13">
        <v>605</v>
      </c>
      <c r="E25" s="12">
        <v>14.8</v>
      </c>
      <c r="F25" s="13">
        <v>460</v>
      </c>
      <c r="G25" s="103">
        <v>337</v>
      </c>
      <c r="H25" s="16" t="s">
        <v>6</v>
      </c>
    </row>
    <row r="26" spans="1:8" x14ac:dyDescent="0.2">
      <c r="A26" s="1" t="s">
        <v>460</v>
      </c>
      <c r="B26" s="2">
        <v>9.7222222222222224E-2</v>
      </c>
      <c r="C26" s="3">
        <v>45.1</v>
      </c>
      <c r="D26" s="8">
        <v>600</v>
      </c>
      <c r="E26" s="12">
        <v>19.3</v>
      </c>
      <c r="F26" s="13">
        <v>466</v>
      </c>
      <c r="G26" s="103">
        <v>200</v>
      </c>
      <c r="H26" t="s">
        <v>398</v>
      </c>
    </row>
    <row r="27" spans="1:8" x14ac:dyDescent="0.2">
      <c r="A27" s="1" t="s">
        <v>835</v>
      </c>
      <c r="B27" s="2">
        <v>0.10440972222222222</v>
      </c>
      <c r="C27" s="11">
        <v>49.28</v>
      </c>
      <c r="D27">
        <v>590</v>
      </c>
      <c r="E27" s="12">
        <v>19.7</v>
      </c>
      <c r="F27" s="13">
        <v>519</v>
      </c>
      <c r="G27" s="103">
        <v>319</v>
      </c>
      <c r="H27" t="s">
        <v>645</v>
      </c>
    </row>
    <row r="28" spans="1:8" x14ac:dyDescent="0.2">
      <c r="A28" s="1" t="s">
        <v>713</v>
      </c>
      <c r="B28" s="2">
        <v>8.6805555555555566E-2</v>
      </c>
      <c r="C28" s="3">
        <v>47.6</v>
      </c>
      <c r="D28" s="13">
        <v>587</v>
      </c>
      <c r="E28" s="12">
        <v>22.847999999999999</v>
      </c>
      <c r="F28" s="13">
        <v>477</v>
      </c>
      <c r="G28" s="103">
        <v>219</v>
      </c>
      <c r="H28" t="s">
        <v>398</v>
      </c>
    </row>
    <row r="29" spans="1:8" x14ac:dyDescent="0.2">
      <c r="A29" s="1" t="s">
        <v>458</v>
      </c>
      <c r="B29" s="2">
        <v>9.2361111111111116E-2</v>
      </c>
      <c r="C29" s="11">
        <v>47.7</v>
      </c>
      <c r="D29" s="8">
        <v>582</v>
      </c>
      <c r="E29" s="12">
        <v>21.5</v>
      </c>
      <c r="F29" s="13">
        <v>457</v>
      </c>
      <c r="G29" s="103">
        <v>290</v>
      </c>
      <c r="H29" s="6" t="s">
        <v>398</v>
      </c>
    </row>
    <row r="30" spans="1:8" x14ac:dyDescent="0.2">
      <c r="A30" s="1" t="s">
        <v>474</v>
      </c>
      <c r="B30" s="2">
        <v>8.7881944444444457E-2</v>
      </c>
      <c r="C30" s="3">
        <v>24.91</v>
      </c>
      <c r="D30" s="13">
        <v>578</v>
      </c>
      <c r="E30" s="12">
        <v>11.8</v>
      </c>
      <c r="F30" s="13">
        <v>481</v>
      </c>
      <c r="G30" s="103">
        <v>325</v>
      </c>
      <c r="H30" s="6" t="s">
        <v>6</v>
      </c>
    </row>
    <row r="31" spans="1:8" x14ac:dyDescent="0.2">
      <c r="A31" s="1" t="s">
        <v>940</v>
      </c>
      <c r="B31" s="2">
        <v>0.11458333333333333</v>
      </c>
      <c r="C31" s="11">
        <v>63.1</v>
      </c>
      <c r="D31">
        <v>570</v>
      </c>
      <c r="E31" s="12">
        <v>22.945454545454545</v>
      </c>
      <c r="F31" s="84">
        <v>544</v>
      </c>
      <c r="G31" s="103">
        <v>314</v>
      </c>
      <c r="H31" t="s">
        <v>5</v>
      </c>
    </row>
    <row r="32" spans="1:8" x14ac:dyDescent="0.2">
      <c r="A32" s="1" t="s">
        <v>691</v>
      </c>
      <c r="B32" s="2">
        <v>8.7858796296296296E-2</v>
      </c>
      <c r="C32" s="3">
        <v>53.66</v>
      </c>
      <c r="D32" s="8">
        <v>568</v>
      </c>
      <c r="E32" s="12">
        <v>25.448030562508229</v>
      </c>
      <c r="F32" s="13">
        <v>544</v>
      </c>
      <c r="G32" s="103">
        <v>284</v>
      </c>
      <c r="H32" s="85" t="s">
        <v>5</v>
      </c>
    </row>
    <row r="33" spans="1:8" x14ac:dyDescent="0.2">
      <c r="A33" s="1" t="s">
        <v>690</v>
      </c>
      <c r="B33" s="2">
        <v>8.7951388888888885E-2</v>
      </c>
      <c r="C33" s="3">
        <v>53.66</v>
      </c>
      <c r="D33" s="13">
        <v>568</v>
      </c>
      <c r="E33" s="12">
        <v>25.4</v>
      </c>
      <c r="F33" s="13">
        <v>544</v>
      </c>
      <c r="G33" s="103">
        <v>314</v>
      </c>
      <c r="H33" s="6" t="s">
        <v>5</v>
      </c>
    </row>
    <row r="34" spans="1:8" x14ac:dyDescent="0.2">
      <c r="A34" s="1" t="s">
        <v>669</v>
      </c>
      <c r="B34" s="2">
        <v>9.0983796296296285E-2</v>
      </c>
      <c r="C34" s="11">
        <v>44.1</v>
      </c>
      <c r="D34" s="13">
        <v>565</v>
      </c>
      <c r="E34" s="12">
        <v>20.2</v>
      </c>
      <c r="F34" s="13">
        <v>462</v>
      </c>
      <c r="G34" s="103">
        <v>200</v>
      </c>
      <c r="H34" s="6" t="s">
        <v>645</v>
      </c>
    </row>
    <row r="35" spans="1:8" x14ac:dyDescent="0.2">
      <c r="A35" s="1" t="s">
        <v>184</v>
      </c>
      <c r="B35" s="2">
        <v>8.3437499999999998E-2</v>
      </c>
      <c r="C35" s="3">
        <v>48.97</v>
      </c>
      <c r="D35" s="13">
        <v>560</v>
      </c>
      <c r="E35" s="12">
        <v>24.4</v>
      </c>
      <c r="F35" s="13">
        <v>461</v>
      </c>
      <c r="G35" s="103">
        <v>218</v>
      </c>
      <c r="H35" t="s">
        <v>5</v>
      </c>
    </row>
    <row r="36" spans="1:8" x14ac:dyDescent="0.2">
      <c r="A36" s="1" t="s">
        <v>312</v>
      </c>
      <c r="B36" s="2">
        <v>7.6574074074074072E-2</v>
      </c>
      <c r="C36" s="3">
        <v>41.21</v>
      </c>
      <c r="D36" s="13">
        <v>560</v>
      </c>
      <c r="E36" s="12">
        <v>22.4</v>
      </c>
      <c r="F36">
        <v>461</v>
      </c>
      <c r="G36" s="103">
        <v>284</v>
      </c>
      <c r="H36" s="6" t="s">
        <v>5</v>
      </c>
    </row>
    <row r="37" spans="1:8" x14ac:dyDescent="0.2">
      <c r="A37" s="1" t="s">
        <v>553</v>
      </c>
      <c r="B37" s="2">
        <v>4.1833333333333333E-2</v>
      </c>
      <c r="C37" s="3">
        <v>15.06</v>
      </c>
      <c r="D37" s="13">
        <v>556</v>
      </c>
      <c r="E37" s="12">
        <v>15</v>
      </c>
      <c r="F37" s="13">
        <v>418</v>
      </c>
      <c r="G37" s="103">
        <v>288</v>
      </c>
      <c r="H37" t="s">
        <v>6</v>
      </c>
    </row>
    <row r="38" spans="1:8" x14ac:dyDescent="0.2">
      <c r="A38" s="1" t="s">
        <v>733</v>
      </c>
      <c r="B38" s="2">
        <v>0.1111111111111111</v>
      </c>
      <c r="C38" s="11">
        <v>61.1</v>
      </c>
      <c r="D38">
        <v>540</v>
      </c>
      <c r="E38" s="12">
        <v>22.912500000000001</v>
      </c>
      <c r="F38" s="13">
        <v>461</v>
      </c>
      <c r="G38" s="103">
        <v>310</v>
      </c>
      <c r="H38" t="s">
        <v>398</v>
      </c>
    </row>
    <row r="39" spans="1:8" x14ac:dyDescent="0.2">
      <c r="A39" s="1" t="s">
        <v>533</v>
      </c>
      <c r="B39" s="2">
        <v>7.1673525377229069E-2</v>
      </c>
      <c r="C39" s="11">
        <v>41.8</v>
      </c>
      <c r="D39">
        <v>540</v>
      </c>
      <c r="E39" s="12">
        <v>24.3</v>
      </c>
      <c r="F39" s="13">
        <v>472</v>
      </c>
      <c r="G39" s="103">
        <v>230</v>
      </c>
      <c r="H39" t="s">
        <v>5</v>
      </c>
    </row>
    <row r="40" spans="1:8" x14ac:dyDescent="0.2">
      <c r="A40" s="1" t="s">
        <v>688</v>
      </c>
      <c r="B40" s="2">
        <v>7.2916666666666671E-2</v>
      </c>
      <c r="C40" s="11">
        <v>38.5</v>
      </c>
      <c r="D40">
        <v>540</v>
      </c>
      <c r="E40" s="12">
        <v>21.999999999999996</v>
      </c>
      <c r="F40" s="13">
        <v>512</v>
      </c>
      <c r="G40" s="103">
        <v>275</v>
      </c>
      <c r="H40" t="s">
        <v>398</v>
      </c>
    </row>
    <row r="41" spans="1:8" x14ac:dyDescent="0.2">
      <c r="A41" s="1" t="s">
        <v>896</v>
      </c>
      <c r="B41" s="2">
        <v>9.7222222222222224E-2</v>
      </c>
      <c r="C41" s="11">
        <v>32.269999999999996</v>
      </c>
      <c r="D41">
        <v>525</v>
      </c>
      <c r="E41" s="12">
        <v>13.8</v>
      </c>
      <c r="F41" s="13">
        <v>482</v>
      </c>
      <c r="G41" s="103">
        <v>309</v>
      </c>
      <c r="H41" t="s">
        <v>6</v>
      </c>
    </row>
    <row r="42" spans="1:8" x14ac:dyDescent="0.2">
      <c r="A42" s="1" t="s">
        <v>556</v>
      </c>
      <c r="B42" s="2">
        <v>7.4282407407407408E-2</v>
      </c>
      <c r="C42" s="11">
        <v>35.6</v>
      </c>
      <c r="D42">
        <v>513</v>
      </c>
      <c r="E42" s="12">
        <v>20</v>
      </c>
      <c r="F42" s="13">
        <v>481</v>
      </c>
      <c r="G42" s="103">
        <v>323</v>
      </c>
      <c r="H42" t="s">
        <v>398</v>
      </c>
    </row>
    <row r="43" spans="1:8" x14ac:dyDescent="0.2">
      <c r="A43" s="1" t="s">
        <v>261</v>
      </c>
      <c r="B43" s="2">
        <v>8.6898148148148155E-2</v>
      </c>
      <c r="C43" s="11">
        <v>34.119999999999997</v>
      </c>
      <c r="D43">
        <v>513</v>
      </c>
      <c r="E43" s="12">
        <v>16.3</v>
      </c>
      <c r="F43" s="13">
        <v>441</v>
      </c>
      <c r="G43" s="103">
        <v>290</v>
      </c>
      <c r="H43" t="s">
        <v>6</v>
      </c>
    </row>
    <row r="44" spans="1:8" x14ac:dyDescent="0.2">
      <c r="A44" s="1" t="s">
        <v>773</v>
      </c>
      <c r="B44" s="2">
        <v>8.9953703703703702E-2</v>
      </c>
      <c r="C44" s="11">
        <v>55.21</v>
      </c>
      <c r="D44">
        <v>505</v>
      </c>
      <c r="E44" s="12">
        <v>25.5</v>
      </c>
      <c r="F44">
        <v>530</v>
      </c>
      <c r="G44" s="103">
        <v>293</v>
      </c>
      <c r="H44" t="s">
        <v>5</v>
      </c>
    </row>
    <row r="45" spans="1:8" x14ac:dyDescent="0.2">
      <c r="A45" s="1" t="s">
        <v>593</v>
      </c>
      <c r="B45" s="2">
        <v>0.10430555555555555</v>
      </c>
      <c r="C45" s="11">
        <v>47.6</v>
      </c>
      <c r="D45">
        <v>505</v>
      </c>
      <c r="E45" s="12">
        <v>19</v>
      </c>
      <c r="F45" s="13">
        <v>459</v>
      </c>
      <c r="G45" s="103">
        <v>285</v>
      </c>
      <c r="H45" t="s">
        <v>398</v>
      </c>
    </row>
  </sheetData>
  <sortState ref="A2:J45">
    <sortCondition descending="1" ref="D1"/>
  </sortState>
  <conditionalFormatting sqref="A1:A1048576">
    <cfRule type="expression" dxfId="1612" priority="11" stopIfTrue="1">
      <formula>H1="CR"</formula>
    </cfRule>
    <cfRule type="expression" dxfId="1611" priority="39" stopIfTrue="1">
      <formula>H1="RR"</formula>
    </cfRule>
    <cfRule type="expression" dxfId="1610" priority="40" stopIfTrue="1">
      <formula>H1="FB"</formula>
    </cfRule>
    <cfRule type="expression" dxfId="1609" priority="41">
      <formula>H1="MTB"</formula>
    </cfRule>
  </conditionalFormatting>
  <conditionalFormatting sqref="F1:F1048576">
    <cfRule type="cellIs" dxfId="1608" priority="22" stopIfTrue="1" operator="between">
      <formula>0</formula>
      <formula>399.99</formula>
    </cfRule>
    <cfRule type="cellIs" dxfId="1607" priority="23" stopIfTrue="1" operator="between">
      <formula>400</formula>
      <formula>449.99</formula>
    </cfRule>
    <cfRule type="cellIs" dxfId="1606" priority="24" stopIfTrue="1" operator="between">
      <formula>450</formula>
      <formula>499.99</formula>
    </cfRule>
    <cfRule type="cellIs" dxfId="1605" priority="25" stopIfTrue="1" operator="between">
      <formula>500</formula>
      <formula>549.99</formula>
    </cfRule>
    <cfRule type="cellIs" dxfId="1604" priority="26" stopIfTrue="1" operator="between">
      <formula>550</formula>
      <formula>599.99</formula>
    </cfRule>
  </conditionalFormatting>
  <conditionalFormatting sqref="F1:F1048576">
    <cfRule type="cellIs" dxfId="1603" priority="27" stopIfTrue="1" operator="between">
      <formula>600</formula>
      <formula>9999.99</formula>
    </cfRule>
  </conditionalFormatting>
  <conditionalFormatting sqref="G1:G1048576">
    <cfRule type="cellIs" dxfId="1602" priority="51" operator="between">
      <formula>400</formula>
      <formula>9999.99</formula>
    </cfRule>
    <cfRule type="cellIs" dxfId="1601" priority="52" operator="between">
      <formula>300</formula>
      <formula>399.99</formula>
    </cfRule>
    <cfRule type="cellIs" dxfId="1600" priority="53" operator="between">
      <formula>0</formula>
      <formula>299.99</formula>
    </cfRule>
  </conditionalFormatting>
  <conditionalFormatting sqref="B1:B1048576">
    <cfRule type="cellIs" dxfId="1599" priority="31" stopIfTrue="1" operator="between">
      <formula>0</formula>
      <formula>0.041666665</formula>
    </cfRule>
    <cfRule type="cellIs" dxfId="1598" priority="32" stopIfTrue="1" operator="between">
      <formula>0.0416666666666667</formula>
      <formula>0.124999884259259</formula>
    </cfRule>
    <cfRule type="cellIs" dxfId="1597" priority="48" stopIfTrue="1" operator="between">
      <formula>0.125</formula>
      <formula>0.166666550925926</formula>
    </cfRule>
    <cfRule type="cellIs" dxfId="1596" priority="49" stopIfTrue="1" operator="between">
      <formula>0.0833333333333333</formula>
      <formula>0.208333217592593</formula>
    </cfRule>
    <cfRule type="cellIs" dxfId="1595" priority="50" stopIfTrue="1" operator="between">
      <formula>0.208333333333333</formula>
      <formula>4.16666655092593</formula>
    </cfRule>
  </conditionalFormatting>
  <conditionalFormatting sqref="E1:E1048576">
    <cfRule type="cellIs" dxfId="1594" priority="45" stopIfTrue="1" operator="between">
      <formula>0</formula>
      <formula>19.99</formula>
    </cfRule>
    <cfRule type="cellIs" dxfId="1593" priority="46" stopIfTrue="1" operator="between">
      <formula>10</formula>
      <formula>24.99</formula>
    </cfRule>
    <cfRule type="cellIs" dxfId="1592" priority="47" stopIfTrue="1" operator="between">
      <formula>25</formula>
      <formula>99.99</formula>
    </cfRule>
  </conditionalFormatting>
  <conditionalFormatting sqref="H1:H1048576">
    <cfRule type="cellIs" dxfId="1591" priority="12" stopIfTrue="1" operator="equal">
      <formula>"CR"</formula>
    </cfRule>
    <cfRule type="cellIs" dxfId="1590" priority="13" stopIfTrue="1" operator="equal">
      <formula>"FB"</formula>
    </cfRule>
    <cfRule type="cellIs" dxfId="1589" priority="14" stopIfTrue="1" operator="equal">
      <formula>"RR"</formula>
    </cfRule>
    <cfRule type="cellIs" dxfId="1588" priority="15" stopIfTrue="1" operator="equal">
      <formula>"MTB"</formula>
    </cfRule>
  </conditionalFormatting>
  <conditionalFormatting sqref="C1:C1048576">
    <cfRule type="cellIs" dxfId="1587" priority="7" stopIfTrue="1" operator="between">
      <formula>0</formula>
      <formula>19.99</formula>
    </cfRule>
    <cfRule type="cellIs" dxfId="1586" priority="8" stopIfTrue="1" operator="between">
      <formula>20</formula>
      <formula>49.99</formula>
    </cfRule>
    <cfRule type="cellIs" dxfId="1585" priority="9" stopIfTrue="1" operator="between">
      <formula>50</formula>
      <formula>99.9999</formula>
    </cfRule>
    <cfRule type="cellIs" dxfId="1584" priority="10" stopIfTrue="1" operator="between">
      <formula>100</formula>
      <formula>9999</formula>
    </cfRule>
  </conditionalFormatting>
  <conditionalFormatting sqref="D1:D1048576">
    <cfRule type="cellIs" dxfId="1583" priority="1" stopIfTrue="1" operator="between">
      <formula>0</formula>
      <formula>99.99</formula>
    </cfRule>
    <cfRule type="cellIs" dxfId="1582" priority="2" stopIfTrue="1" operator="between">
      <formula>100</formula>
      <formula>499.99</formula>
    </cfRule>
    <cfRule type="cellIs" dxfId="1581" priority="3" stopIfTrue="1" operator="between">
      <formula>500</formula>
      <formula>999.99</formula>
    </cfRule>
    <cfRule type="cellIs" dxfId="1580" priority="4" stopIfTrue="1" operator="between">
      <formula>1000</formula>
      <formula>1499.99</formula>
    </cfRule>
    <cfRule type="cellIs" dxfId="1579" priority="5" stopIfTrue="1" operator="between">
      <formula>1500</formula>
      <formula>1999.99</formula>
    </cfRule>
  </conditionalFormatting>
  <conditionalFormatting sqref="D1:D1048576">
    <cfRule type="cellIs" dxfId="1578" priority="6" stopIfTrue="1" operator="between">
      <formula>2000</formula>
      <formula>9999.99</formula>
    </cfRule>
  </conditionalFormatting>
  <hyperlinks>
    <hyperlink ref="A1" r:id="rId1" tooltip="Normalstartpunkt für Touren ohne Anfahrt"/>
  </hyperlinks>
  <pageMargins left="0.7" right="0.7" top="0.78740157499999996" bottom="0.78740157499999996" header="0.3" footer="0.3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1F0000"/>
  </sheetPr>
  <dimension ref="A1:M3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6" width="10.28515625" bestFit="1" customWidth="1"/>
    <col min="7" max="7" width="8.42578125" style="103" bestFit="1" customWidth="1"/>
    <col min="8" max="8" width="5.85546875" customWidth="1"/>
    <col min="9" max="12" width="2.28515625" style="5" bestFit="1" customWidth="1"/>
    <col min="13" max="13" width="4.5703125" style="11" bestFit="1" customWidth="1"/>
  </cols>
  <sheetData>
    <row r="1" spans="1:13" s="33" customFormat="1" x14ac:dyDescent="0.2">
      <c r="A1" s="32" t="s">
        <v>55</v>
      </c>
      <c r="B1" s="75" t="s">
        <v>0</v>
      </c>
      <c r="C1" s="232" t="s">
        <v>243</v>
      </c>
      <c r="D1" s="366" t="s">
        <v>2</v>
      </c>
      <c r="E1" s="23" t="s">
        <v>242</v>
      </c>
      <c r="F1" s="76" t="s">
        <v>1</v>
      </c>
      <c r="G1" s="47" t="s">
        <v>221</v>
      </c>
      <c r="H1" s="24" t="s">
        <v>3</v>
      </c>
      <c r="I1" s="158" t="s">
        <v>249</v>
      </c>
      <c r="J1" s="158" t="s">
        <v>250</v>
      </c>
      <c r="K1" s="158" t="s">
        <v>251</v>
      </c>
      <c r="L1" s="158" t="s">
        <v>252</v>
      </c>
      <c r="M1" s="159" t="s">
        <v>211</v>
      </c>
    </row>
    <row r="2" spans="1:13" x14ac:dyDescent="0.2">
      <c r="A2" s="1" t="s">
        <v>768</v>
      </c>
      <c r="B2" s="2">
        <v>0.11944444444444445</v>
      </c>
      <c r="C2" s="14">
        <v>37.700000000000003</v>
      </c>
      <c r="D2" s="13">
        <v>970</v>
      </c>
      <c r="E2" s="12">
        <v>13.151162790697674</v>
      </c>
      <c r="F2" s="13">
        <v>482</v>
      </c>
      <c r="G2" s="103">
        <v>354</v>
      </c>
      <c r="H2" s="6" t="s">
        <v>6</v>
      </c>
      <c r="I2" s="5">
        <v>2</v>
      </c>
      <c r="J2" s="5">
        <v>2</v>
      </c>
      <c r="K2" s="5">
        <v>2</v>
      </c>
      <c r="L2" s="5">
        <v>2</v>
      </c>
      <c r="M2" s="11">
        <f t="shared" ref="M2:M23" si="0">AVERAGE(I2:L2)</f>
        <v>2</v>
      </c>
    </row>
    <row r="3" spans="1:13" x14ac:dyDescent="0.2">
      <c r="A3" s="1" t="s">
        <v>676</v>
      </c>
      <c r="B3" s="2">
        <v>0.10633101851851852</v>
      </c>
      <c r="C3" s="11">
        <v>59.6</v>
      </c>
      <c r="D3" s="13">
        <v>955</v>
      </c>
      <c r="E3" s="12">
        <v>23.4</v>
      </c>
      <c r="F3" s="13">
        <v>472</v>
      </c>
      <c r="G3" s="103">
        <v>252</v>
      </c>
      <c r="H3" s="6" t="s">
        <v>5</v>
      </c>
      <c r="I3" s="5">
        <v>1</v>
      </c>
      <c r="J3" s="5">
        <v>1</v>
      </c>
      <c r="K3" s="5">
        <v>2</v>
      </c>
      <c r="L3" s="5">
        <v>1</v>
      </c>
      <c r="M3" s="11">
        <f t="shared" si="0"/>
        <v>1.25</v>
      </c>
    </row>
    <row r="4" spans="1:13" x14ac:dyDescent="0.2">
      <c r="A4" s="1" t="s">
        <v>362</v>
      </c>
      <c r="B4" s="2">
        <v>0.13880787037037037</v>
      </c>
      <c r="C4" s="11">
        <v>77.22</v>
      </c>
      <c r="D4" s="13">
        <v>942</v>
      </c>
      <c r="E4" s="12">
        <v>23.1</v>
      </c>
      <c r="F4" s="13">
        <v>544</v>
      </c>
      <c r="G4" s="103">
        <v>284</v>
      </c>
      <c r="H4" s="6" t="s">
        <v>5</v>
      </c>
      <c r="I4" s="103">
        <v>3</v>
      </c>
      <c r="J4" s="103">
        <v>2</v>
      </c>
      <c r="K4" s="103">
        <v>1</v>
      </c>
      <c r="L4" s="103">
        <v>2</v>
      </c>
      <c r="M4" s="11">
        <f t="shared" si="0"/>
        <v>2</v>
      </c>
    </row>
    <row r="5" spans="1:13" x14ac:dyDescent="0.2">
      <c r="A5" s="1" t="s">
        <v>450</v>
      </c>
      <c r="B5" s="2">
        <v>0.11319444444444444</v>
      </c>
      <c r="C5" s="3">
        <v>57.1</v>
      </c>
      <c r="D5" s="84">
        <v>912</v>
      </c>
      <c r="E5" s="12">
        <v>21</v>
      </c>
      <c r="F5" s="8">
        <v>462</v>
      </c>
      <c r="G5" s="103">
        <v>323</v>
      </c>
      <c r="H5" s="6" t="s">
        <v>398</v>
      </c>
      <c r="I5" s="103">
        <v>3</v>
      </c>
      <c r="J5" s="103">
        <v>3</v>
      </c>
      <c r="K5" s="103">
        <v>1</v>
      </c>
      <c r="L5" s="103">
        <v>1</v>
      </c>
      <c r="M5" s="11">
        <f t="shared" si="0"/>
        <v>2</v>
      </c>
    </row>
    <row r="6" spans="1:13" x14ac:dyDescent="0.2">
      <c r="A6" s="1" t="s">
        <v>787</v>
      </c>
      <c r="B6" s="2">
        <v>0.125</v>
      </c>
      <c r="C6" s="3">
        <v>63.92</v>
      </c>
      <c r="D6" s="13">
        <v>903</v>
      </c>
      <c r="E6" s="12">
        <v>21.306666666666665</v>
      </c>
      <c r="F6" s="13">
        <v>348</v>
      </c>
      <c r="G6" s="103">
        <v>223</v>
      </c>
      <c r="H6" s="85" t="s">
        <v>398</v>
      </c>
      <c r="I6" s="103">
        <v>3</v>
      </c>
      <c r="J6" s="103">
        <v>1</v>
      </c>
      <c r="K6" s="103">
        <v>2</v>
      </c>
      <c r="L6" s="103">
        <v>1</v>
      </c>
      <c r="M6" s="11">
        <f t="shared" si="0"/>
        <v>1.75</v>
      </c>
    </row>
    <row r="7" spans="1:13" x14ac:dyDescent="0.2">
      <c r="A7" s="1" t="s">
        <v>442</v>
      </c>
      <c r="B7" s="2">
        <v>0.13193287037037035</v>
      </c>
      <c r="C7" s="14">
        <v>73.28</v>
      </c>
      <c r="D7" s="13">
        <v>887</v>
      </c>
      <c r="E7" s="12">
        <v>23.1</v>
      </c>
      <c r="F7" s="13">
        <v>395</v>
      </c>
      <c r="G7" s="103">
        <v>245</v>
      </c>
      <c r="H7" s="6" t="s">
        <v>5</v>
      </c>
      <c r="I7" s="5">
        <v>3</v>
      </c>
      <c r="J7" s="5">
        <v>1</v>
      </c>
      <c r="K7" s="5">
        <v>1</v>
      </c>
      <c r="L7" s="5">
        <v>1</v>
      </c>
      <c r="M7" s="11">
        <f t="shared" si="0"/>
        <v>1.5</v>
      </c>
    </row>
    <row r="8" spans="1:13" x14ac:dyDescent="0.2">
      <c r="A8" s="1" t="s">
        <v>212</v>
      </c>
      <c r="B8" s="2">
        <v>0.15212962962962964</v>
      </c>
      <c r="C8" s="11">
        <v>88.62</v>
      </c>
      <c r="D8" s="13">
        <v>880</v>
      </c>
      <c r="E8" s="12">
        <v>24.2</v>
      </c>
      <c r="F8" s="13">
        <v>544</v>
      </c>
      <c r="G8" s="103">
        <v>293</v>
      </c>
      <c r="H8" t="s">
        <v>5</v>
      </c>
      <c r="I8" s="103">
        <v>3</v>
      </c>
      <c r="J8" s="103">
        <v>2</v>
      </c>
      <c r="K8" s="103">
        <v>1</v>
      </c>
      <c r="L8" s="103">
        <v>2</v>
      </c>
      <c r="M8" s="11">
        <f t="shared" si="0"/>
        <v>2</v>
      </c>
    </row>
    <row r="9" spans="1:13" x14ac:dyDescent="0.2">
      <c r="A9" s="1" t="s">
        <v>930</v>
      </c>
      <c r="B9" s="2">
        <v>0.13194444444444445</v>
      </c>
      <c r="C9" s="14">
        <v>75</v>
      </c>
      <c r="D9" s="8">
        <v>875</v>
      </c>
      <c r="E9" s="12">
        <v>23.684210526315788</v>
      </c>
      <c r="F9" s="13">
        <v>544</v>
      </c>
      <c r="G9" s="103">
        <v>330</v>
      </c>
      <c r="H9" s="6" t="s">
        <v>5</v>
      </c>
      <c r="I9" s="103">
        <v>1</v>
      </c>
      <c r="J9" s="103">
        <v>2</v>
      </c>
      <c r="K9" s="103">
        <v>2</v>
      </c>
      <c r="L9" s="103">
        <v>1</v>
      </c>
      <c r="M9" s="11">
        <f t="shared" si="0"/>
        <v>1.5</v>
      </c>
    </row>
    <row r="10" spans="1:13" x14ac:dyDescent="0.2">
      <c r="A10" s="1" t="s">
        <v>193</v>
      </c>
      <c r="B10" s="2">
        <v>0.1001851851851852</v>
      </c>
      <c r="C10" s="120">
        <v>52.49</v>
      </c>
      <c r="D10" s="13">
        <v>850</v>
      </c>
      <c r="E10" s="12">
        <v>21.8</v>
      </c>
      <c r="F10" s="13">
        <v>462</v>
      </c>
      <c r="G10" s="103">
        <v>286</v>
      </c>
      <c r="H10" s="6" t="s">
        <v>5</v>
      </c>
      <c r="I10" s="5">
        <v>3</v>
      </c>
      <c r="J10" s="5">
        <v>2</v>
      </c>
      <c r="K10" s="5">
        <v>1</v>
      </c>
      <c r="L10" s="5">
        <v>2</v>
      </c>
      <c r="M10" s="11">
        <f t="shared" si="0"/>
        <v>2</v>
      </c>
    </row>
    <row r="11" spans="1:13" x14ac:dyDescent="0.2">
      <c r="A11" s="1" t="s">
        <v>436</v>
      </c>
      <c r="B11" s="2">
        <v>0.10505787037037036</v>
      </c>
      <c r="C11" s="3">
        <v>58.78</v>
      </c>
      <c r="D11" s="5">
        <v>850</v>
      </c>
      <c r="E11" s="12">
        <v>21.9</v>
      </c>
      <c r="F11" s="13">
        <v>516</v>
      </c>
      <c r="G11" s="103">
        <v>284</v>
      </c>
      <c r="H11" s="231" t="s">
        <v>5</v>
      </c>
      <c r="I11" s="103">
        <v>3</v>
      </c>
      <c r="J11" s="103">
        <v>2</v>
      </c>
      <c r="K11" s="103">
        <v>3</v>
      </c>
      <c r="L11" s="103">
        <v>1</v>
      </c>
      <c r="M11" s="11">
        <f t="shared" si="0"/>
        <v>2.25</v>
      </c>
    </row>
    <row r="12" spans="1:13" x14ac:dyDescent="0.2">
      <c r="A12" s="1" t="s">
        <v>618</v>
      </c>
      <c r="B12" s="2">
        <v>0.12557291666666665</v>
      </c>
      <c r="C12" s="3">
        <v>48.22</v>
      </c>
      <c r="D12" s="8">
        <v>847</v>
      </c>
      <c r="E12" s="12">
        <v>16</v>
      </c>
      <c r="F12" s="13">
        <v>521</v>
      </c>
      <c r="G12" s="103">
        <v>351</v>
      </c>
      <c r="H12" s="231" t="s">
        <v>6</v>
      </c>
      <c r="I12" s="103">
        <v>1</v>
      </c>
      <c r="J12" s="103">
        <v>1</v>
      </c>
      <c r="K12" s="103">
        <v>2</v>
      </c>
      <c r="L12" s="103">
        <v>2</v>
      </c>
      <c r="M12" s="11">
        <f t="shared" si="0"/>
        <v>1.5</v>
      </c>
    </row>
    <row r="13" spans="1:13" x14ac:dyDescent="0.2">
      <c r="A13" s="1" t="s">
        <v>188</v>
      </c>
      <c r="B13" s="2">
        <v>0.1164236111111111</v>
      </c>
      <c r="C13" s="14">
        <v>64.709999999999994</v>
      </c>
      <c r="D13" s="13">
        <v>845</v>
      </c>
      <c r="E13" s="12">
        <v>23.1</v>
      </c>
      <c r="F13" s="13">
        <v>462</v>
      </c>
      <c r="G13" s="103">
        <v>323</v>
      </c>
      <c r="H13" s="6" t="s">
        <v>5</v>
      </c>
      <c r="I13" s="5">
        <v>3</v>
      </c>
      <c r="J13" s="5">
        <v>2</v>
      </c>
      <c r="K13" s="5">
        <v>2</v>
      </c>
      <c r="L13" s="5">
        <v>2</v>
      </c>
      <c r="M13" s="11">
        <f t="shared" si="0"/>
        <v>2.25</v>
      </c>
    </row>
    <row r="14" spans="1:13" x14ac:dyDescent="0.2">
      <c r="A14" s="1" t="s">
        <v>433</v>
      </c>
      <c r="B14" s="2">
        <v>0.12101851851851853</v>
      </c>
      <c r="C14" s="3">
        <v>62.42</v>
      </c>
      <c r="D14" s="13">
        <v>843</v>
      </c>
      <c r="E14" s="12">
        <v>21.4</v>
      </c>
      <c r="F14" s="8">
        <v>348</v>
      </c>
      <c r="G14" s="103">
        <v>223</v>
      </c>
      <c r="H14" s="6" t="s">
        <v>5</v>
      </c>
      <c r="I14" s="103">
        <v>1</v>
      </c>
      <c r="J14" s="103">
        <v>2</v>
      </c>
      <c r="K14" s="103">
        <v>2</v>
      </c>
      <c r="L14" s="103">
        <v>1</v>
      </c>
      <c r="M14" s="11">
        <f t="shared" si="0"/>
        <v>1.5</v>
      </c>
    </row>
    <row r="15" spans="1:13" x14ac:dyDescent="0.2">
      <c r="A15" s="1" t="s">
        <v>548</v>
      </c>
      <c r="B15" s="2">
        <v>0.10404040404040404</v>
      </c>
      <c r="C15" s="11">
        <v>41.2</v>
      </c>
      <c r="D15" s="13">
        <v>836</v>
      </c>
      <c r="E15" s="12">
        <v>16.5</v>
      </c>
      <c r="F15" s="13">
        <v>456</v>
      </c>
      <c r="G15" s="103">
        <v>300</v>
      </c>
      <c r="H15" s="6" t="s">
        <v>6</v>
      </c>
      <c r="I15" s="103">
        <v>3</v>
      </c>
      <c r="J15" s="103">
        <v>1</v>
      </c>
      <c r="K15" s="103">
        <v>1</v>
      </c>
      <c r="L15" s="103">
        <v>1</v>
      </c>
      <c r="M15" s="11">
        <f t="shared" si="0"/>
        <v>1.5</v>
      </c>
    </row>
    <row r="16" spans="1:13" x14ac:dyDescent="0.2">
      <c r="A16" s="1" t="s">
        <v>196</v>
      </c>
      <c r="B16" s="2">
        <v>9.5937500000000009E-2</v>
      </c>
      <c r="C16" s="14">
        <v>36.85</v>
      </c>
      <c r="D16" s="13">
        <v>830</v>
      </c>
      <c r="E16" s="12">
        <v>16</v>
      </c>
      <c r="F16" s="13">
        <v>482</v>
      </c>
      <c r="G16" s="103">
        <v>303</v>
      </c>
      <c r="H16" s="233" t="s">
        <v>6</v>
      </c>
      <c r="I16" s="5">
        <v>2</v>
      </c>
      <c r="J16" s="5">
        <v>1</v>
      </c>
      <c r="K16" s="5">
        <v>1</v>
      </c>
      <c r="L16" s="5">
        <v>2</v>
      </c>
      <c r="M16" s="11">
        <f t="shared" si="0"/>
        <v>1.5</v>
      </c>
    </row>
    <row r="17" spans="1:13" x14ac:dyDescent="0.2">
      <c r="A17" s="1" t="s">
        <v>941</v>
      </c>
      <c r="B17" s="2">
        <v>0.13541666666666666</v>
      </c>
      <c r="C17" s="3">
        <v>71.3</v>
      </c>
      <c r="D17" s="8">
        <v>796</v>
      </c>
      <c r="E17" s="12">
        <v>21.938461538461539</v>
      </c>
      <c r="F17" s="13">
        <v>544</v>
      </c>
      <c r="G17" s="103">
        <v>284</v>
      </c>
      <c r="H17" s="6" t="s">
        <v>398</v>
      </c>
      <c r="I17" s="103">
        <v>3</v>
      </c>
      <c r="J17" s="103">
        <v>2</v>
      </c>
      <c r="K17" s="103">
        <v>2</v>
      </c>
      <c r="L17" s="103">
        <v>1</v>
      </c>
      <c r="M17" s="11">
        <f t="shared" si="0"/>
        <v>2</v>
      </c>
    </row>
    <row r="18" spans="1:13" x14ac:dyDescent="0.2">
      <c r="A18" s="1" t="s">
        <v>215</v>
      </c>
      <c r="B18" s="2">
        <v>9.6898148148148164E-2</v>
      </c>
      <c r="C18" s="14">
        <v>49.86</v>
      </c>
      <c r="D18" s="13">
        <v>785</v>
      </c>
      <c r="E18" s="12">
        <v>21.4</v>
      </c>
      <c r="F18" s="13">
        <v>461</v>
      </c>
      <c r="G18" s="103">
        <v>284</v>
      </c>
      <c r="H18" s="6" t="s">
        <v>5</v>
      </c>
      <c r="I18" s="103">
        <v>1</v>
      </c>
      <c r="J18" s="103">
        <v>1</v>
      </c>
      <c r="K18" s="103">
        <v>1</v>
      </c>
      <c r="L18" s="103">
        <v>1</v>
      </c>
      <c r="M18" s="11">
        <f t="shared" si="0"/>
        <v>1</v>
      </c>
    </row>
    <row r="19" spans="1:13" x14ac:dyDescent="0.2">
      <c r="A19" s="1" t="s">
        <v>403</v>
      </c>
      <c r="B19" s="2">
        <v>0.10060185185185185</v>
      </c>
      <c r="C19" s="14">
        <v>36.6</v>
      </c>
      <c r="D19" s="8">
        <v>778</v>
      </c>
      <c r="E19" s="12">
        <v>15.1</v>
      </c>
      <c r="F19" s="13">
        <v>481</v>
      </c>
      <c r="G19" s="103">
        <v>327</v>
      </c>
      <c r="H19" t="s">
        <v>6</v>
      </c>
      <c r="I19" s="5">
        <v>2</v>
      </c>
      <c r="J19" s="5">
        <v>1</v>
      </c>
      <c r="K19" s="5">
        <v>1</v>
      </c>
      <c r="L19" s="5">
        <v>2</v>
      </c>
      <c r="M19" s="11">
        <f t="shared" si="0"/>
        <v>1.5</v>
      </c>
    </row>
    <row r="20" spans="1:13" x14ac:dyDescent="0.2">
      <c r="A20" s="1" t="s">
        <v>837</v>
      </c>
      <c r="B20" s="2">
        <v>0.10695621468926553</v>
      </c>
      <c r="C20" s="3">
        <v>60.58</v>
      </c>
      <c r="D20" s="13">
        <v>757</v>
      </c>
      <c r="E20" s="12">
        <v>23.6</v>
      </c>
      <c r="F20" s="13">
        <v>457</v>
      </c>
      <c r="G20" s="103">
        <v>210</v>
      </c>
      <c r="H20" s="198" t="s">
        <v>398</v>
      </c>
      <c r="I20" s="103">
        <v>3</v>
      </c>
      <c r="J20" s="103">
        <v>2</v>
      </c>
      <c r="K20" s="103">
        <v>3</v>
      </c>
      <c r="L20" s="103">
        <v>1</v>
      </c>
      <c r="M20" s="11">
        <f t="shared" si="0"/>
        <v>2.25</v>
      </c>
    </row>
    <row r="21" spans="1:13" x14ac:dyDescent="0.2">
      <c r="A21" s="1" t="s">
        <v>801</v>
      </c>
      <c r="B21" s="2">
        <v>0.13541666666666666</v>
      </c>
      <c r="C21" s="14">
        <v>61.7</v>
      </c>
      <c r="D21" s="13">
        <v>755</v>
      </c>
      <c r="E21" s="12">
        <v>19</v>
      </c>
      <c r="F21" s="13">
        <v>415</v>
      </c>
      <c r="G21" s="103">
        <v>285</v>
      </c>
      <c r="H21" s="16" t="s">
        <v>645</v>
      </c>
      <c r="I21" s="5">
        <v>3</v>
      </c>
      <c r="J21" s="5">
        <v>1</v>
      </c>
      <c r="K21" s="5">
        <v>2</v>
      </c>
      <c r="L21" s="5">
        <v>2</v>
      </c>
      <c r="M21" s="11">
        <f t="shared" si="0"/>
        <v>2</v>
      </c>
    </row>
    <row r="22" spans="1:13" x14ac:dyDescent="0.2">
      <c r="A22" s="1" t="s">
        <v>766</v>
      </c>
      <c r="B22" s="2">
        <v>0.14930555555555555</v>
      </c>
      <c r="C22" s="3">
        <v>69</v>
      </c>
      <c r="D22" s="13">
        <v>750</v>
      </c>
      <c r="E22" s="12">
        <v>19.3</v>
      </c>
      <c r="F22" s="13">
        <v>331</v>
      </c>
      <c r="G22" s="103">
        <v>160</v>
      </c>
      <c r="H22" s="6" t="s">
        <v>645</v>
      </c>
      <c r="I22" s="5">
        <v>2</v>
      </c>
      <c r="J22" s="5">
        <v>1</v>
      </c>
      <c r="K22" s="5">
        <v>1</v>
      </c>
      <c r="L22" s="5">
        <v>1</v>
      </c>
      <c r="M22" s="11">
        <f t="shared" si="0"/>
        <v>1.25</v>
      </c>
    </row>
    <row r="23" spans="1:13" x14ac:dyDescent="0.2">
      <c r="A23" s="1" t="s">
        <v>923</v>
      </c>
      <c r="B23" s="2">
        <v>0.12152777777777778</v>
      </c>
      <c r="C23" s="11">
        <v>69.7</v>
      </c>
      <c r="D23" s="13">
        <v>750</v>
      </c>
      <c r="E23" s="12">
        <v>23.897142857142857</v>
      </c>
      <c r="F23" s="13">
        <v>544</v>
      </c>
      <c r="G23" s="103">
        <v>345</v>
      </c>
      <c r="H23" s="6" t="s">
        <v>5</v>
      </c>
      <c r="I23" s="103">
        <v>3</v>
      </c>
      <c r="J23" s="103">
        <v>2</v>
      </c>
      <c r="K23" s="103">
        <v>1</v>
      </c>
      <c r="L23" s="103">
        <v>1</v>
      </c>
      <c r="M23" s="11">
        <f t="shared" si="0"/>
        <v>1.75</v>
      </c>
    </row>
    <row r="24" spans="1:13" x14ac:dyDescent="0.2">
      <c r="A24" s="1"/>
      <c r="C24" s="3"/>
      <c r="D24" s="13"/>
      <c r="F24" s="13"/>
      <c r="H24" s="85"/>
      <c r="I24" s="103"/>
      <c r="J24" s="103"/>
      <c r="K24" s="103"/>
      <c r="L24" s="103"/>
    </row>
    <row r="25" spans="1:13" x14ac:dyDescent="0.2">
      <c r="A25" s="1"/>
      <c r="D25" s="8"/>
      <c r="F25" s="13"/>
      <c r="H25" s="6"/>
    </row>
    <row r="26" spans="1:13" x14ac:dyDescent="0.2">
      <c r="A26" s="1"/>
      <c r="C26" s="3"/>
      <c r="D26" s="13"/>
      <c r="F26" s="13"/>
      <c r="H26" s="6"/>
    </row>
    <row r="27" spans="1:13" x14ac:dyDescent="0.2">
      <c r="A27" s="1"/>
      <c r="C27" s="3"/>
      <c r="D27" s="8"/>
      <c r="H27" s="6"/>
      <c r="I27" s="103"/>
      <c r="J27" s="103"/>
      <c r="K27" s="103"/>
      <c r="L27" s="103"/>
    </row>
    <row r="28" spans="1:13" x14ac:dyDescent="0.2">
      <c r="A28" s="1"/>
      <c r="C28" s="3"/>
      <c r="D28" s="13"/>
      <c r="F28" s="13"/>
    </row>
    <row r="29" spans="1:13" x14ac:dyDescent="0.2">
      <c r="A29" s="1"/>
      <c r="D29" s="13"/>
      <c r="F29" s="13"/>
    </row>
    <row r="30" spans="1:13" x14ac:dyDescent="0.2">
      <c r="A30" s="1"/>
      <c r="C30" s="3"/>
      <c r="D30" s="13"/>
      <c r="F30" s="13"/>
    </row>
    <row r="31" spans="1:13" x14ac:dyDescent="0.2">
      <c r="A31" s="1"/>
      <c r="C31" s="3"/>
      <c r="D31" s="13"/>
      <c r="F31" s="13"/>
    </row>
    <row r="32" spans="1:13" x14ac:dyDescent="0.2">
      <c r="A32" s="1"/>
      <c r="C32" s="3"/>
      <c r="D32" s="13"/>
      <c r="F32" s="13"/>
    </row>
    <row r="33" spans="1:6" x14ac:dyDescent="0.2">
      <c r="A33" s="1"/>
      <c r="D33" s="13"/>
      <c r="F33" s="13"/>
    </row>
    <row r="34" spans="1:6" x14ac:dyDescent="0.2">
      <c r="A34" s="1"/>
      <c r="F34" s="13"/>
    </row>
    <row r="35" spans="1:6" x14ac:dyDescent="0.2">
      <c r="A35" s="1"/>
      <c r="F35" s="13"/>
    </row>
    <row r="36" spans="1:6" x14ac:dyDescent="0.2">
      <c r="A36" s="1"/>
      <c r="F36" s="13"/>
    </row>
    <row r="37" spans="1:6" x14ac:dyDescent="0.2">
      <c r="A37" s="1"/>
    </row>
  </sheetData>
  <sortState ref="A2:M23">
    <sortCondition descending="1" ref="D1"/>
  </sortState>
  <conditionalFormatting sqref="G1:G1048576">
    <cfRule type="cellIs" dxfId="1577" priority="60" operator="between">
      <formula>400</formula>
      <formula>9999.99</formula>
    </cfRule>
    <cfRule type="cellIs" dxfId="1576" priority="61" operator="between">
      <formula>300</formula>
      <formula>399.99</formula>
    </cfRule>
    <cfRule type="cellIs" dxfId="1575" priority="62" operator="between">
      <formula>0</formula>
      <formula>299.99</formula>
    </cfRule>
  </conditionalFormatting>
  <conditionalFormatting sqref="E1:E1048576">
    <cfRule type="cellIs" dxfId="1574" priority="54" stopIfTrue="1" operator="between">
      <formula>0</formula>
      <formula>19.99</formula>
    </cfRule>
    <cfRule type="cellIs" dxfId="1573" priority="55" stopIfTrue="1" operator="between">
      <formula>10</formula>
      <formula>24.99</formula>
    </cfRule>
    <cfRule type="cellIs" dxfId="1572" priority="56" stopIfTrue="1" operator="between">
      <formula>25</formula>
      <formula>99.99</formula>
    </cfRule>
  </conditionalFormatting>
  <conditionalFormatting sqref="I1:L1048576">
    <cfRule type="cellIs" dxfId="1571" priority="51" operator="equal">
      <formula>1</formula>
    </cfRule>
    <cfRule type="cellIs" dxfId="1570" priority="52" operator="equal">
      <formula>2</formula>
    </cfRule>
    <cfRule type="cellIs" dxfId="1569" priority="53" operator="equal">
      <formula>3</formula>
    </cfRule>
  </conditionalFormatting>
  <conditionalFormatting sqref="M1:M1048576">
    <cfRule type="cellIs" dxfId="1568" priority="48" stopIfTrue="1" operator="between">
      <formula>1</formula>
      <formula>1.499</formula>
    </cfRule>
    <cfRule type="cellIs" dxfId="1567" priority="49" stopIfTrue="1" operator="between">
      <formula>1.5</formula>
      <formula>2</formula>
    </cfRule>
    <cfRule type="cellIs" dxfId="1566" priority="50" operator="between">
      <formula>2</formula>
      <formula>99.999</formula>
    </cfRule>
  </conditionalFormatting>
  <conditionalFormatting sqref="F1:F1048576">
    <cfRule type="cellIs" dxfId="1565" priority="25" stopIfTrue="1" operator="between">
      <formula>0</formula>
      <formula>399.99</formula>
    </cfRule>
    <cfRule type="cellIs" dxfId="1564" priority="26" stopIfTrue="1" operator="between">
      <formula>400</formula>
      <formula>449.99</formula>
    </cfRule>
    <cfRule type="cellIs" dxfId="1563" priority="27" stopIfTrue="1" operator="between">
      <formula>450</formula>
      <formula>499.99</formula>
    </cfRule>
    <cfRule type="cellIs" dxfId="1562" priority="28" stopIfTrue="1" operator="between">
      <formula>500</formula>
      <formula>549.99</formula>
    </cfRule>
    <cfRule type="cellIs" dxfId="1561" priority="29" stopIfTrue="1" operator="between">
      <formula>550</formula>
      <formula>599.99</formula>
    </cfRule>
  </conditionalFormatting>
  <conditionalFormatting sqref="F1:F1048576">
    <cfRule type="cellIs" dxfId="1560" priority="30" stopIfTrue="1" operator="between">
      <formula>600</formula>
      <formula>9999.99</formula>
    </cfRule>
  </conditionalFormatting>
  <conditionalFormatting sqref="B1:B1048576">
    <cfRule type="cellIs" dxfId="1559" priority="34" stopIfTrue="1" operator="between">
      <formula>0</formula>
      <formula>0.041666665</formula>
    </cfRule>
    <cfRule type="cellIs" dxfId="1558" priority="35" stopIfTrue="1" operator="between">
      <formula>0.0416666666666667</formula>
      <formula>0.124999884259259</formula>
    </cfRule>
    <cfRule type="cellIs" dxfId="1557" priority="57" stopIfTrue="1" operator="between">
      <formula>0.125</formula>
      <formula>0.166666550925926</formula>
    </cfRule>
    <cfRule type="cellIs" dxfId="1556" priority="58" stopIfTrue="1" operator="between">
      <formula>0.0833333333333333</formula>
      <formula>0.208333217592593</formula>
    </cfRule>
    <cfRule type="cellIs" dxfId="1555" priority="59" stopIfTrue="1" operator="between">
      <formula>0.208333333333333</formula>
      <formula>4.16666655092593</formula>
    </cfRule>
  </conditionalFormatting>
  <conditionalFormatting sqref="H1:H1048576">
    <cfRule type="cellIs" dxfId="1554" priority="15" stopIfTrue="1" operator="equal">
      <formula>"CR"</formula>
    </cfRule>
    <cfRule type="cellIs" dxfId="1553" priority="16" stopIfTrue="1" operator="equal">
      <formula>"FB"</formula>
    </cfRule>
    <cfRule type="cellIs" dxfId="1552" priority="17" stopIfTrue="1" operator="equal">
      <formula>"RR"</formula>
    </cfRule>
    <cfRule type="cellIs" dxfId="1551" priority="18" stopIfTrue="1" operator="equal">
      <formula>"MTB"</formula>
    </cfRule>
  </conditionalFormatting>
  <conditionalFormatting sqref="A1:A1048576">
    <cfRule type="expression" dxfId="1550" priority="11" stopIfTrue="1">
      <formula>H1="CR"</formula>
    </cfRule>
    <cfRule type="expression" dxfId="1549" priority="12" stopIfTrue="1">
      <formula>H1="RR"</formula>
    </cfRule>
    <cfRule type="expression" dxfId="1548" priority="13" stopIfTrue="1">
      <formula>H1="FB"</formula>
    </cfRule>
    <cfRule type="expression" dxfId="1547" priority="14">
      <formula>H1="MTB"</formula>
    </cfRule>
  </conditionalFormatting>
  <conditionalFormatting sqref="C1:C1048576">
    <cfRule type="cellIs" dxfId="1546" priority="7" stopIfTrue="1" operator="between">
      <formula>0</formula>
      <formula>19.99</formula>
    </cfRule>
    <cfRule type="cellIs" dxfId="1545" priority="8" stopIfTrue="1" operator="between">
      <formula>20</formula>
      <formula>49.99</formula>
    </cfRule>
    <cfRule type="cellIs" dxfId="1544" priority="9" stopIfTrue="1" operator="between">
      <formula>50</formula>
      <formula>99.9999</formula>
    </cfRule>
    <cfRule type="cellIs" dxfId="1543" priority="10" stopIfTrue="1" operator="between">
      <formula>100</formula>
      <formula>9999</formula>
    </cfRule>
  </conditionalFormatting>
  <conditionalFormatting sqref="D1:D1048576">
    <cfRule type="cellIs" dxfId="1542" priority="1" stopIfTrue="1" operator="between">
      <formula>0</formula>
      <formula>99.99</formula>
    </cfRule>
    <cfRule type="cellIs" dxfId="1541" priority="2" stopIfTrue="1" operator="between">
      <formula>100</formula>
      <formula>499.99</formula>
    </cfRule>
    <cfRule type="cellIs" dxfId="1540" priority="3" stopIfTrue="1" operator="between">
      <formula>500</formula>
      <formula>999.99</formula>
    </cfRule>
    <cfRule type="cellIs" dxfId="1539" priority="4" stopIfTrue="1" operator="between">
      <formula>1000</formula>
      <formula>1499.99</formula>
    </cfRule>
    <cfRule type="cellIs" dxfId="1538" priority="5" stopIfTrue="1" operator="between">
      <formula>1500</formula>
      <formula>1999.99</formula>
    </cfRule>
  </conditionalFormatting>
  <conditionalFormatting sqref="D1:D1048576">
    <cfRule type="cellIs" dxfId="1537" priority="6" stopIfTrue="1" operator="between">
      <formula>2000</formula>
      <formula>9999.99</formula>
    </cfRule>
  </conditionalFormatting>
  <hyperlinks>
    <hyperlink ref="A1" r:id="rId1" tooltip="Normalstartpunkt für Touren ohne Anfahrt"/>
  </hyperlinks>
  <pageMargins left="0.7" right="0.7" top="0.78740157499999996" bottom="0.78740157499999996" header="0.3" footer="0.3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F0000"/>
  </sheetPr>
  <dimension ref="A1:M3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6" width="10.28515625" bestFit="1" customWidth="1"/>
    <col min="7" max="7" width="8.42578125" style="103" bestFit="1" customWidth="1"/>
    <col min="8" max="8" width="5.85546875" customWidth="1"/>
    <col min="9" max="12" width="2.28515625" style="5" bestFit="1" customWidth="1"/>
    <col min="13" max="13" width="4.5703125" style="11" bestFit="1" customWidth="1"/>
  </cols>
  <sheetData>
    <row r="1" spans="1:13" s="33" customFormat="1" x14ac:dyDescent="0.2">
      <c r="A1" s="32" t="s">
        <v>55</v>
      </c>
      <c r="B1" s="75" t="s">
        <v>0</v>
      </c>
      <c r="C1" s="232" t="s">
        <v>243</v>
      </c>
      <c r="D1" s="366" t="s">
        <v>2</v>
      </c>
      <c r="E1" s="23" t="s">
        <v>242</v>
      </c>
      <c r="F1" s="76" t="s">
        <v>1</v>
      </c>
      <c r="G1" s="47" t="s">
        <v>221</v>
      </c>
      <c r="H1" s="24" t="s">
        <v>3</v>
      </c>
      <c r="I1" s="158" t="s">
        <v>249</v>
      </c>
      <c r="J1" s="158" t="s">
        <v>250</v>
      </c>
      <c r="K1" s="158" t="s">
        <v>251</v>
      </c>
      <c r="L1" s="158" t="s">
        <v>252</v>
      </c>
      <c r="M1" s="159" t="s">
        <v>211</v>
      </c>
    </row>
    <row r="2" spans="1:13" x14ac:dyDescent="0.2">
      <c r="A2" s="1" t="s">
        <v>546</v>
      </c>
      <c r="B2" s="2">
        <v>0.23620370370370369</v>
      </c>
      <c r="C2" s="11">
        <v>141.72</v>
      </c>
      <c r="D2" s="13">
        <v>1479</v>
      </c>
      <c r="E2" s="12">
        <v>25</v>
      </c>
      <c r="F2" s="13">
        <v>544</v>
      </c>
      <c r="G2" s="103">
        <v>295</v>
      </c>
      <c r="H2" s="6" t="s">
        <v>5</v>
      </c>
      <c r="I2" s="5">
        <v>2</v>
      </c>
      <c r="J2" s="5">
        <v>2</v>
      </c>
      <c r="K2" s="5">
        <v>2</v>
      </c>
      <c r="L2" s="5">
        <v>2</v>
      </c>
      <c r="M2" s="11">
        <f t="shared" ref="M2:M29" si="0">AVERAGE(I2:L2)</f>
        <v>2</v>
      </c>
    </row>
    <row r="3" spans="1:13" x14ac:dyDescent="0.2">
      <c r="A3" s="1" t="s">
        <v>379</v>
      </c>
      <c r="B3" s="2">
        <v>0.20746527777777779</v>
      </c>
      <c r="C3" s="120">
        <v>111.31</v>
      </c>
      <c r="D3" s="13">
        <v>1460</v>
      </c>
      <c r="E3" s="12">
        <v>22.3</v>
      </c>
      <c r="F3" s="13">
        <v>512</v>
      </c>
      <c r="G3" s="103">
        <v>298</v>
      </c>
      <c r="H3" s="231" t="s">
        <v>5</v>
      </c>
      <c r="I3" s="103">
        <v>1</v>
      </c>
      <c r="J3" s="103">
        <v>1</v>
      </c>
      <c r="K3" s="103">
        <v>2</v>
      </c>
      <c r="L3" s="103">
        <v>1</v>
      </c>
      <c r="M3" s="11">
        <f t="shared" si="0"/>
        <v>1.25</v>
      </c>
    </row>
    <row r="4" spans="1:13" x14ac:dyDescent="0.2">
      <c r="A4" s="1" t="s">
        <v>692</v>
      </c>
      <c r="B4" s="2">
        <v>0.18124999999999999</v>
      </c>
      <c r="C4" s="3">
        <v>101</v>
      </c>
      <c r="D4" s="5">
        <v>1450</v>
      </c>
      <c r="E4" s="12">
        <v>23.2183908045977</v>
      </c>
      <c r="F4" s="13">
        <v>568</v>
      </c>
      <c r="G4" s="103">
        <v>410</v>
      </c>
      <c r="H4" s="231" t="s">
        <v>5</v>
      </c>
      <c r="I4" s="5">
        <v>2</v>
      </c>
      <c r="J4" s="5">
        <v>1</v>
      </c>
      <c r="K4" s="5">
        <v>2</v>
      </c>
      <c r="L4" s="5">
        <v>1</v>
      </c>
      <c r="M4" s="11">
        <f t="shared" si="0"/>
        <v>1.5</v>
      </c>
    </row>
    <row r="5" spans="1:13" x14ac:dyDescent="0.2">
      <c r="A5" s="1" t="s">
        <v>468</v>
      </c>
      <c r="B5" s="2">
        <v>0.16879629629629631</v>
      </c>
      <c r="C5" s="3">
        <v>89.34</v>
      </c>
      <c r="D5" s="8">
        <v>1380</v>
      </c>
      <c r="E5" s="12">
        <v>22</v>
      </c>
      <c r="F5" s="13">
        <v>581</v>
      </c>
      <c r="G5" s="103">
        <v>406</v>
      </c>
      <c r="H5" s="6" t="s">
        <v>5</v>
      </c>
      <c r="I5" s="103">
        <v>3</v>
      </c>
      <c r="J5" s="103">
        <v>1</v>
      </c>
      <c r="K5" s="103">
        <v>1</v>
      </c>
      <c r="L5" s="103">
        <v>1</v>
      </c>
      <c r="M5" s="11">
        <f t="shared" si="0"/>
        <v>1.5</v>
      </c>
    </row>
    <row r="6" spans="1:13" x14ac:dyDescent="0.2">
      <c r="A6" s="1" t="s">
        <v>661</v>
      </c>
      <c r="B6" s="2">
        <v>0.15771812080536912</v>
      </c>
      <c r="C6" s="14">
        <v>56.4</v>
      </c>
      <c r="D6" s="13">
        <v>1371.5</v>
      </c>
      <c r="E6" s="12">
        <v>14.9</v>
      </c>
      <c r="F6" s="13">
        <v>482</v>
      </c>
      <c r="G6" s="103">
        <v>312</v>
      </c>
      <c r="H6" s="6" t="s">
        <v>6</v>
      </c>
      <c r="I6" s="5">
        <v>2</v>
      </c>
      <c r="J6" s="5">
        <v>1</v>
      </c>
      <c r="K6" s="5">
        <v>2</v>
      </c>
      <c r="L6" s="5">
        <v>1</v>
      </c>
      <c r="M6" s="11">
        <f t="shared" si="0"/>
        <v>1.5</v>
      </c>
    </row>
    <row r="7" spans="1:13" x14ac:dyDescent="0.2">
      <c r="A7" s="1" t="s">
        <v>488</v>
      </c>
      <c r="B7" s="2">
        <v>0.17916666666666667</v>
      </c>
      <c r="C7" s="3">
        <v>94.3</v>
      </c>
      <c r="D7" s="13">
        <v>1315</v>
      </c>
      <c r="E7" s="12">
        <v>21.9</v>
      </c>
      <c r="F7" s="8">
        <v>626</v>
      </c>
      <c r="G7" s="103">
        <v>295</v>
      </c>
      <c r="H7" s="6" t="s">
        <v>398</v>
      </c>
      <c r="I7" s="103">
        <v>3</v>
      </c>
      <c r="J7" s="103">
        <v>2</v>
      </c>
      <c r="K7" s="103">
        <v>3</v>
      </c>
      <c r="L7" s="103">
        <v>1</v>
      </c>
      <c r="M7" s="11">
        <f t="shared" si="0"/>
        <v>2.25</v>
      </c>
    </row>
    <row r="8" spans="1:13" x14ac:dyDescent="0.2">
      <c r="A8" s="1" t="s">
        <v>65</v>
      </c>
      <c r="B8" s="2">
        <v>0.1319910514541387</v>
      </c>
      <c r="C8" s="11">
        <v>47.2</v>
      </c>
      <c r="D8" s="13">
        <v>1310</v>
      </c>
      <c r="E8" s="12">
        <v>14.9</v>
      </c>
      <c r="F8" s="13">
        <v>481</v>
      </c>
      <c r="G8" s="103">
        <v>354</v>
      </c>
      <c r="H8" s="233" t="s">
        <v>6</v>
      </c>
      <c r="I8" s="103">
        <v>1</v>
      </c>
      <c r="J8" s="103">
        <v>1</v>
      </c>
      <c r="K8" s="103">
        <v>1</v>
      </c>
      <c r="L8" s="103">
        <v>2</v>
      </c>
      <c r="M8" s="11">
        <f t="shared" si="0"/>
        <v>1.25</v>
      </c>
    </row>
    <row r="9" spans="1:13" x14ac:dyDescent="0.2">
      <c r="A9" s="1" t="s">
        <v>515</v>
      </c>
      <c r="B9" s="2">
        <v>0.17038194444444443</v>
      </c>
      <c r="C9" s="14">
        <v>102.85</v>
      </c>
      <c r="D9" s="13">
        <v>1305</v>
      </c>
      <c r="E9" s="12">
        <v>25.1</v>
      </c>
      <c r="F9" s="13">
        <v>555</v>
      </c>
      <c r="G9" s="103">
        <v>397</v>
      </c>
      <c r="H9" s="6" t="s">
        <v>5</v>
      </c>
      <c r="I9" s="5">
        <v>3</v>
      </c>
      <c r="J9" s="5">
        <v>2</v>
      </c>
      <c r="K9" s="5">
        <v>2</v>
      </c>
      <c r="L9" s="5">
        <v>2</v>
      </c>
      <c r="M9" s="11">
        <f t="shared" si="0"/>
        <v>2.25</v>
      </c>
    </row>
    <row r="10" spans="1:13" x14ac:dyDescent="0.2">
      <c r="A10" s="1" t="s">
        <v>799</v>
      </c>
      <c r="B10" s="2">
        <v>0.15217236467236467</v>
      </c>
      <c r="C10" s="3">
        <v>85.460000000000008</v>
      </c>
      <c r="D10" s="13">
        <v>1305</v>
      </c>
      <c r="E10" s="12">
        <v>23.4</v>
      </c>
      <c r="F10" s="13">
        <v>461</v>
      </c>
      <c r="G10" s="103">
        <v>252</v>
      </c>
      <c r="H10" s="6" t="s">
        <v>5</v>
      </c>
      <c r="I10" s="5">
        <v>2</v>
      </c>
      <c r="J10" s="5">
        <v>2</v>
      </c>
      <c r="K10" s="5">
        <v>2</v>
      </c>
      <c r="L10" s="5">
        <v>1</v>
      </c>
      <c r="M10" s="11">
        <f t="shared" si="0"/>
        <v>1.75</v>
      </c>
    </row>
    <row r="11" spans="1:13" x14ac:dyDescent="0.2">
      <c r="A11" s="1" t="s">
        <v>464</v>
      </c>
      <c r="B11" s="2">
        <v>0.18105324074074072</v>
      </c>
      <c r="C11" s="14">
        <v>102.2</v>
      </c>
      <c r="D11" s="13">
        <v>1300</v>
      </c>
      <c r="E11" s="12">
        <v>23.519785207441029</v>
      </c>
      <c r="F11" s="13">
        <v>581</v>
      </c>
      <c r="G11" s="103">
        <v>295</v>
      </c>
      <c r="H11" t="s">
        <v>5</v>
      </c>
      <c r="I11" s="103">
        <v>2</v>
      </c>
      <c r="J11" s="103">
        <v>1</v>
      </c>
      <c r="K11" s="103">
        <v>2</v>
      </c>
      <c r="L11" s="103">
        <v>1</v>
      </c>
      <c r="M11" s="11">
        <f t="shared" si="0"/>
        <v>1.5</v>
      </c>
    </row>
    <row r="12" spans="1:13" x14ac:dyDescent="0.2">
      <c r="A12" s="1" t="s">
        <v>516</v>
      </c>
      <c r="B12" s="2">
        <v>0.13446759259259258</v>
      </c>
      <c r="C12" s="14">
        <v>72.760000000000005</v>
      </c>
      <c r="D12" s="8">
        <v>1215</v>
      </c>
      <c r="E12" s="12">
        <v>22.5</v>
      </c>
      <c r="F12" s="13">
        <v>560</v>
      </c>
      <c r="G12" s="103">
        <v>388</v>
      </c>
      <c r="H12" s="6" t="s">
        <v>5</v>
      </c>
      <c r="I12" s="5">
        <v>3</v>
      </c>
      <c r="J12" s="5">
        <v>2</v>
      </c>
      <c r="K12" s="5">
        <v>3</v>
      </c>
      <c r="L12" s="5">
        <v>1</v>
      </c>
      <c r="M12" s="11">
        <f t="shared" si="0"/>
        <v>2.25</v>
      </c>
    </row>
    <row r="13" spans="1:13" x14ac:dyDescent="0.2">
      <c r="A13" s="1" t="s">
        <v>589</v>
      </c>
      <c r="B13" s="2">
        <v>0.13119212962962964</v>
      </c>
      <c r="C13" s="3">
        <v>60.399999999999991</v>
      </c>
      <c r="D13" s="13">
        <v>1130</v>
      </c>
      <c r="E13" s="12">
        <v>19.183061314512564</v>
      </c>
      <c r="F13" s="13">
        <v>462</v>
      </c>
      <c r="G13" s="103">
        <v>330</v>
      </c>
      <c r="H13" s="6" t="s">
        <v>398</v>
      </c>
      <c r="I13" s="5">
        <v>3</v>
      </c>
      <c r="J13" s="5">
        <v>1</v>
      </c>
      <c r="K13" s="5">
        <v>2</v>
      </c>
      <c r="L13" s="5">
        <v>1</v>
      </c>
      <c r="M13" s="11">
        <f t="shared" si="0"/>
        <v>1.75</v>
      </c>
    </row>
    <row r="14" spans="1:13" x14ac:dyDescent="0.2">
      <c r="A14" s="1" t="s">
        <v>402</v>
      </c>
      <c r="B14" s="2">
        <v>0.1527199074074074</v>
      </c>
      <c r="C14" s="3">
        <v>85.45</v>
      </c>
      <c r="D14" s="13">
        <v>1110</v>
      </c>
      <c r="E14" s="12">
        <v>23.3</v>
      </c>
      <c r="F14" s="13">
        <v>512</v>
      </c>
      <c r="G14" s="103">
        <v>298</v>
      </c>
      <c r="H14" t="s">
        <v>5</v>
      </c>
      <c r="I14" s="103">
        <v>1</v>
      </c>
      <c r="J14" s="103">
        <v>1</v>
      </c>
      <c r="K14" s="103">
        <v>1</v>
      </c>
      <c r="L14" s="103">
        <v>1</v>
      </c>
      <c r="M14" s="11">
        <f t="shared" si="0"/>
        <v>1</v>
      </c>
    </row>
    <row r="15" spans="1:13" x14ac:dyDescent="0.2">
      <c r="A15" s="1" t="s">
        <v>514</v>
      </c>
      <c r="B15" s="2">
        <v>0.1290674603174603</v>
      </c>
      <c r="C15" s="14">
        <v>65.05</v>
      </c>
      <c r="D15" s="8">
        <v>1105</v>
      </c>
      <c r="E15" s="12">
        <v>21</v>
      </c>
      <c r="F15" s="13">
        <v>457</v>
      </c>
      <c r="G15" s="103">
        <v>332</v>
      </c>
      <c r="H15" s="6" t="s">
        <v>398</v>
      </c>
      <c r="I15" s="103">
        <v>3</v>
      </c>
      <c r="J15" s="103">
        <v>2</v>
      </c>
      <c r="K15" s="103">
        <v>3</v>
      </c>
      <c r="L15" s="103">
        <v>2</v>
      </c>
      <c r="M15" s="11">
        <f t="shared" si="0"/>
        <v>2.5</v>
      </c>
    </row>
    <row r="16" spans="1:13" x14ac:dyDescent="0.2">
      <c r="A16" s="1" t="s">
        <v>489</v>
      </c>
      <c r="B16" s="2">
        <v>0.16533564814814813</v>
      </c>
      <c r="C16" s="14">
        <v>85.14</v>
      </c>
      <c r="D16" s="13">
        <v>1100</v>
      </c>
      <c r="E16" s="12">
        <v>21.4</v>
      </c>
      <c r="F16" s="13">
        <v>521</v>
      </c>
      <c r="G16" s="103">
        <v>361</v>
      </c>
      <c r="H16" s="16" t="s">
        <v>5</v>
      </c>
      <c r="I16" s="103">
        <v>3</v>
      </c>
      <c r="J16" s="103">
        <v>1</v>
      </c>
      <c r="K16" s="103">
        <v>1</v>
      </c>
      <c r="L16" s="103">
        <v>1</v>
      </c>
      <c r="M16" s="11">
        <f t="shared" si="0"/>
        <v>1.5</v>
      </c>
    </row>
    <row r="17" spans="1:13" x14ac:dyDescent="0.2">
      <c r="A17" s="1" t="s">
        <v>597</v>
      </c>
      <c r="B17" s="2">
        <v>0.15447916666666667</v>
      </c>
      <c r="C17" s="3">
        <v>88.02</v>
      </c>
      <c r="D17" s="13">
        <v>1087</v>
      </c>
      <c r="E17" s="12">
        <v>23.7</v>
      </c>
      <c r="F17" s="13">
        <v>568</v>
      </c>
      <c r="G17" s="103">
        <v>410</v>
      </c>
      <c r="H17" t="s">
        <v>5</v>
      </c>
      <c r="I17" s="5">
        <v>2</v>
      </c>
      <c r="J17" s="5">
        <v>1</v>
      </c>
      <c r="K17" s="5">
        <v>2</v>
      </c>
      <c r="L17" s="5">
        <v>2</v>
      </c>
      <c r="M17" s="11">
        <f t="shared" si="0"/>
        <v>1.75</v>
      </c>
    </row>
    <row r="18" spans="1:13" x14ac:dyDescent="0.2">
      <c r="A18" s="1" t="s">
        <v>828</v>
      </c>
      <c r="B18" s="2">
        <v>0.13194444444444445</v>
      </c>
      <c r="C18" s="3">
        <v>68.900000000000006</v>
      </c>
      <c r="D18" s="13">
        <v>1073</v>
      </c>
      <c r="E18" s="12">
        <v>21.757894736842108</v>
      </c>
      <c r="F18" s="13">
        <v>468</v>
      </c>
      <c r="G18" s="103">
        <v>280</v>
      </c>
      <c r="H18" s="85" t="s">
        <v>398</v>
      </c>
      <c r="I18" s="5">
        <v>2</v>
      </c>
      <c r="J18" s="5">
        <v>2</v>
      </c>
      <c r="K18" s="5">
        <v>2</v>
      </c>
      <c r="L18" s="5">
        <v>1</v>
      </c>
      <c r="M18" s="11">
        <f t="shared" si="0"/>
        <v>1.75</v>
      </c>
    </row>
    <row r="19" spans="1:13" x14ac:dyDescent="0.2">
      <c r="A19" s="1" t="s">
        <v>598</v>
      </c>
      <c r="B19" s="2">
        <v>0.12924768518518517</v>
      </c>
      <c r="C19" s="11">
        <v>70.31</v>
      </c>
      <c r="D19" s="13">
        <v>1065</v>
      </c>
      <c r="E19" s="12">
        <v>22.6</v>
      </c>
      <c r="F19" s="13">
        <v>544</v>
      </c>
      <c r="G19" s="103">
        <v>287</v>
      </c>
      <c r="H19" s="6" t="s">
        <v>5</v>
      </c>
      <c r="I19" s="103">
        <v>2</v>
      </c>
      <c r="J19" s="103">
        <v>2</v>
      </c>
      <c r="K19" s="103">
        <v>2</v>
      </c>
      <c r="L19" s="103">
        <v>2</v>
      </c>
      <c r="M19" s="11">
        <f t="shared" si="0"/>
        <v>2</v>
      </c>
    </row>
    <row r="20" spans="1:13" x14ac:dyDescent="0.2">
      <c r="A20" s="1" t="s">
        <v>832</v>
      </c>
      <c r="B20" s="2">
        <v>0.15625</v>
      </c>
      <c r="C20" s="11">
        <v>84.4</v>
      </c>
      <c r="D20" s="13">
        <v>1060</v>
      </c>
      <c r="E20" s="12">
        <v>22.506666666666668</v>
      </c>
      <c r="F20" s="13">
        <v>572</v>
      </c>
      <c r="G20" s="103">
        <v>414</v>
      </c>
      <c r="H20" s="85" t="s">
        <v>398</v>
      </c>
      <c r="I20" s="103">
        <v>2</v>
      </c>
      <c r="J20" s="103">
        <v>1</v>
      </c>
      <c r="K20" s="103">
        <v>2</v>
      </c>
      <c r="L20" s="103">
        <v>2</v>
      </c>
      <c r="M20" s="11">
        <f t="shared" si="0"/>
        <v>1.75</v>
      </c>
    </row>
    <row r="21" spans="1:13" x14ac:dyDescent="0.2">
      <c r="A21" s="1" t="s">
        <v>472</v>
      </c>
      <c r="B21" s="2">
        <v>0.15261574074074075</v>
      </c>
      <c r="C21" s="3">
        <v>90.07</v>
      </c>
      <c r="D21" s="8">
        <v>1045</v>
      </c>
      <c r="E21" s="12">
        <v>24.5</v>
      </c>
      <c r="F21" s="13">
        <v>530</v>
      </c>
      <c r="G21" s="103">
        <v>316</v>
      </c>
      <c r="H21" s="6" t="s">
        <v>5</v>
      </c>
      <c r="I21" s="103">
        <v>3</v>
      </c>
      <c r="J21" s="103">
        <v>2</v>
      </c>
      <c r="K21" s="103">
        <v>2</v>
      </c>
      <c r="L21" s="103">
        <v>1</v>
      </c>
      <c r="M21" s="11">
        <f t="shared" si="0"/>
        <v>2</v>
      </c>
    </row>
    <row r="22" spans="1:13" x14ac:dyDescent="0.2">
      <c r="A22" s="1" t="s">
        <v>308</v>
      </c>
      <c r="B22" s="2">
        <v>0.17274305555555555</v>
      </c>
      <c r="C22" s="3">
        <v>95.27</v>
      </c>
      <c r="D22" s="13">
        <v>1040</v>
      </c>
      <c r="E22" s="12">
        <v>22.9</v>
      </c>
      <c r="F22" s="13">
        <v>581</v>
      </c>
      <c r="G22" s="103">
        <v>295</v>
      </c>
      <c r="H22" s="85" t="s">
        <v>5</v>
      </c>
      <c r="I22" s="103">
        <v>2</v>
      </c>
      <c r="J22" s="103">
        <v>2</v>
      </c>
      <c r="K22" s="103">
        <v>2</v>
      </c>
      <c r="L22" s="103">
        <v>1</v>
      </c>
      <c r="M22" s="11">
        <f t="shared" si="0"/>
        <v>1.75</v>
      </c>
    </row>
    <row r="23" spans="1:13" x14ac:dyDescent="0.2">
      <c r="A23" s="1" t="s">
        <v>451</v>
      </c>
      <c r="B23" s="2">
        <v>0.12083333333333333</v>
      </c>
      <c r="C23" s="11">
        <v>57.6</v>
      </c>
      <c r="D23" s="8">
        <v>1035</v>
      </c>
      <c r="E23" s="12">
        <v>20.5</v>
      </c>
      <c r="F23" s="13">
        <v>512</v>
      </c>
      <c r="G23" s="103">
        <v>382</v>
      </c>
      <c r="H23" s="6" t="s">
        <v>398</v>
      </c>
      <c r="I23" s="103">
        <v>2</v>
      </c>
      <c r="J23" s="103">
        <v>2</v>
      </c>
      <c r="K23" s="103">
        <v>2</v>
      </c>
      <c r="L23" s="103">
        <v>1</v>
      </c>
      <c r="M23" s="11">
        <f t="shared" si="0"/>
        <v>1.75</v>
      </c>
    </row>
    <row r="24" spans="1:13" x14ac:dyDescent="0.2">
      <c r="A24" s="1" t="s">
        <v>912</v>
      </c>
      <c r="B24" s="2">
        <v>0.1388888888888889</v>
      </c>
      <c r="C24" s="11">
        <v>75.2</v>
      </c>
      <c r="D24">
        <v>1035</v>
      </c>
      <c r="E24" s="12">
        <v>22.6</v>
      </c>
      <c r="F24" s="13">
        <v>547</v>
      </c>
      <c r="G24" s="103">
        <v>420</v>
      </c>
      <c r="H24" s="85" t="s">
        <v>5</v>
      </c>
      <c r="I24" s="103">
        <v>1</v>
      </c>
      <c r="J24" s="103">
        <v>2</v>
      </c>
      <c r="K24" s="103">
        <v>2</v>
      </c>
      <c r="L24" s="103">
        <v>2</v>
      </c>
      <c r="M24" s="11">
        <f t="shared" si="0"/>
        <v>1.75</v>
      </c>
    </row>
    <row r="25" spans="1:13" x14ac:dyDescent="0.2">
      <c r="A25" s="1" t="s">
        <v>812</v>
      </c>
      <c r="B25" s="2">
        <v>0.12528735632183907</v>
      </c>
      <c r="C25" s="3">
        <v>43.6</v>
      </c>
      <c r="D25" s="13">
        <v>1030</v>
      </c>
      <c r="E25" s="12">
        <v>14.5</v>
      </c>
      <c r="F25" s="13">
        <v>420</v>
      </c>
      <c r="G25" s="103">
        <v>270</v>
      </c>
      <c r="H25" s="6" t="s">
        <v>6</v>
      </c>
      <c r="I25" s="5">
        <v>2</v>
      </c>
      <c r="J25" s="5">
        <v>1</v>
      </c>
      <c r="K25" s="5">
        <v>1</v>
      </c>
      <c r="L25" s="5">
        <v>1</v>
      </c>
      <c r="M25" s="11">
        <f t="shared" si="0"/>
        <v>1.25</v>
      </c>
    </row>
    <row r="26" spans="1:13" x14ac:dyDescent="0.2">
      <c r="A26" s="1" t="s">
        <v>600</v>
      </c>
      <c r="B26" s="2">
        <v>0.13263888888888889</v>
      </c>
      <c r="C26" s="3">
        <v>79.48</v>
      </c>
      <c r="D26" s="13">
        <v>1018</v>
      </c>
      <c r="E26" s="12">
        <v>24.9</v>
      </c>
      <c r="F26" s="13">
        <v>543</v>
      </c>
      <c r="G26" s="103">
        <v>295</v>
      </c>
      <c r="H26" s="6" t="s">
        <v>5</v>
      </c>
      <c r="I26" s="5">
        <v>3</v>
      </c>
      <c r="J26" s="5">
        <v>3</v>
      </c>
      <c r="K26" s="5">
        <v>1</v>
      </c>
      <c r="L26" s="5">
        <v>1</v>
      </c>
      <c r="M26" s="11">
        <f t="shared" si="0"/>
        <v>2</v>
      </c>
    </row>
    <row r="27" spans="1:13" x14ac:dyDescent="0.2">
      <c r="A27" s="1" t="s">
        <v>680</v>
      </c>
      <c r="B27" s="2">
        <v>0.13125000000000001</v>
      </c>
      <c r="C27" s="3">
        <v>66.44</v>
      </c>
      <c r="D27" s="8">
        <v>1016</v>
      </c>
      <c r="E27" s="12">
        <v>21.1</v>
      </c>
      <c r="F27" s="13">
        <v>462</v>
      </c>
      <c r="G27" s="103">
        <v>312</v>
      </c>
      <c r="H27" s="6" t="s">
        <v>398</v>
      </c>
      <c r="I27" s="5">
        <v>3</v>
      </c>
      <c r="J27" s="5">
        <v>2</v>
      </c>
      <c r="K27" s="5">
        <v>2</v>
      </c>
      <c r="L27" s="5">
        <v>2</v>
      </c>
      <c r="M27" s="11">
        <f t="shared" si="0"/>
        <v>2.25</v>
      </c>
    </row>
    <row r="28" spans="1:13" x14ac:dyDescent="0.2">
      <c r="A28" s="1" t="s">
        <v>738</v>
      </c>
      <c r="B28" s="2">
        <v>0.14930555555555555</v>
      </c>
      <c r="C28" s="3">
        <v>65.599999999999994</v>
      </c>
      <c r="D28" s="13">
        <v>1014</v>
      </c>
      <c r="E28" s="12">
        <v>18.306976744186045</v>
      </c>
      <c r="F28" s="13">
        <v>462</v>
      </c>
      <c r="G28" s="103">
        <v>334</v>
      </c>
      <c r="H28" s="6" t="s">
        <v>645</v>
      </c>
      <c r="I28" s="5">
        <v>1</v>
      </c>
      <c r="J28" s="5">
        <v>1</v>
      </c>
      <c r="K28" s="5">
        <v>2</v>
      </c>
      <c r="L28" s="5">
        <v>1</v>
      </c>
      <c r="M28" s="11">
        <f t="shared" si="0"/>
        <v>1.25</v>
      </c>
    </row>
    <row r="29" spans="1:13" x14ac:dyDescent="0.2">
      <c r="A29" s="1" t="s">
        <v>927</v>
      </c>
      <c r="B29" s="2">
        <v>0.12479166666666668</v>
      </c>
      <c r="C29" s="11">
        <v>68.58</v>
      </c>
      <c r="D29" s="13">
        <v>1005</v>
      </c>
      <c r="E29" s="12">
        <v>22.9</v>
      </c>
      <c r="F29">
        <v>348</v>
      </c>
      <c r="G29" s="103">
        <v>223</v>
      </c>
      <c r="H29" t="s">
        <v>5</v>
      </c>
      <c r="I29" s="103">
        <v>1</v>
      </c>
      <c r="J29" s="103">
        <v>2</v>
      </c>
      <c r="K29" s="103">
        <v>2</v>
      </c>
      <c r="L29" s="103">
        <v>1</v>
      </c>
      <c r="M29" s="11">
        <f t="shared" si="0"/>
        <v>1.5</v>
      </c>
    </row>
    <row r="30" spans="1:13" x14ac:dyDescent="0.2">
      <c r="A30" s="1"/>
      <c r="F30" s="13"/>
      <c r="G30"/>
      <c r="I30"/>
      <c r="J30"/>
      <c r="K30"/>
      <c r="L30"/>
      <c r="M30"/>
    </row>
    <row r="31" spans="1:13" x14ac:dyDescent="0.2">
      <c r="A31" s="1"/>
      <c r="F31" s="13"/>
      <c r="G31"/>
      <c r="I31"/>
      <c r="J31"/>
      <c r="K31"/>
      <c r="L31"/>
      <c r="M31"/>
    </row>
    <row r="32" spans="1:13" x14ac:dyDescent="0.2">
      <c r="A32" s="1"/>
      <c r="G32"/>
      <c r="I32"/>
      <c r="J32"/>
      <c r="K32"/>
      <c r="L32"/>
      <c r="M32"/>
    </row>
  </sheetData>
  <sortState ref="A2:O29">
    <sortCondition descending="1" ref="D1"/>
  </sortState>
  <conditionalFormatting sqref="G1:G1048576">
    <cfRule type="cellIs" dxfId="1536" priority="76" operator="between">
      <formula>400</formula>
      <formula>9999.99</formula>
    </cfRule>
    <cfRule type="cellIs" dxfId="1535" priority="77" operator="between">
      <formula>300</formula>
      <formula>399.99</formula>
    </cfRule>
    <cfRule type="cellIs" dxfId="1534" priority="78" operator="between">
      <formula>0</formula>
      <formula>299.99</formula>
    </cfRule>
  </conditionalFormatting>
  <conditionalFormatting sqref="B1:B1048576">
    <cfRule type="cellIs" dxfId="1533" priority="38" stopIfTrue="1" operator="between">
      <formula>0</formula>
      <formula>0.041666665</formula>
    </cfRule>
    <cfRule type="cellIs" dxfId="1532" priority="39" stopIfTrue="1" operator="between">
      <formula>0.0416666666666667</formula>
      <formula>0.124999884259259</formula>
    </cfRule>
    <cfRule type="cellIs" dxfId="1531" priority="73" stopIfTrue="1" operator="between">
      <formula>0.125</formula>
      <formula>0.166666550925926</formula>
    </cfRule>
    <cfRule type="cellIs" dxfId="1530" priority="74" stopIfTrue="1" operator="between">
      <formula>0.0833333333333333</formula>
      <formula>0.208333217592593</formula>
    </cfRule>
    <cfRule type="cellIs" dxfId="1529" priority="75" stopIfTrue="1" operator="between">
      <formula>0.208333333333333</formula>
      <formula>4.16666655092593</formula>
    </cfRule>
  </conditionalFormatting>
  <conditionalFormatting sqref="E1:E1048576">
    <cfRule type="cellIs" dxfId="1528" priority="67" stopIfTrue="1" operator="between">
      <formula>0</formula>
      <formula>19.99</formula>
    </cfRule>
    <cfRule type="cellIs" dxfId="1527" priority="68" stopIfTrue="1" operator="between">
      <formula>10</formula>
      <formula>24.99</formula>
    </cfRule>
    <cfRule type="cellIs" dxfId="1526" priority="69" stopIfTrue="1" operator="between">
      <formula>25</formula>
      <formula>99.99</formula>
    </cfRule>
  </conditionalFormatting>
  <conditionalFormatting sqref="I1:L1048576">
    <cfRule type="cellIs" dxfId="1525" priority="63" operator="equal">
      <formula>1</formula>
    </cfRule>
    <cfRule type="cellIs" dxfId="1524" priority="64" operator="equal">
      <formula>2</formula>
    </cfRule>
    <cfRule type="cellIs" dxfId="1523" priority="65" operator="equal">
      <formula>3</formula>
    </cfRule>
  </conditionalFormatting>
  <conditionalFormatting sqref="F1:F1048576">
    <cfRule type="cellIs" dxfId="1522" priority="29" stopIfTrue="1" operator="between">
      <formula>0</formula>
      <formula>399.99</formula>
    </cfRule>
    <cfRule type="cellIs" dxfId="1521" priority="30" stopIfTrue="1" operator="between">
      <formula>400</formula>
      <formula>449.99</formula>
    </cfRule>
    <cfRule type="cellIs" dxfId="1520" priority="31" stopIfTrue="1" operator="between">
      <formula>450</formula>
      <formula>499.99</formula>
    </cfRule>
    <cfRule type="cellIs" dxfId="1519" priority="32" stopIfTrue="1" operator="between">
      <formula>500</formula>
      <formula>549.99</formula>
    </cfRule>
    <cfRule type="cellIs" dxfId="1518" priority="33" stopIfTrue="1" operator="between">
      <formula>550</formula>
      <formula>599.99</formula>
    </cfRule>
  </conditionalFormatting>
  <conditionalFormatting sqref="F1:F1048576">
    <cfRule type="cellIs" dxfId="1517" priority="34" stopIfTrue="1" operator="between">
      <formula>600</formula>
      <formula>9999.99</formula>
    </cfRule>
  </conditionalFormatting>
  <conditionalFormatting sqref="H1:H1048576">
    <cfRule type="cellIs" dxfId="1516" priority="19" stopIfTrue="1" operator="equal">
      <formula>"CR"</formula>
    </cfRule>
    <cfRule type="cellIs" dxfId="1515" priority="20" stopIfTrue="1" operator="equal">
      <formula>"FB"</formula>
    </cfRule>
    <cfRule type="cellIs" dxfId="1514" priority="21" stopIfTrue="1" operator="equal">
      <formula>"RR"</formula>
    </cfRule>
    <cfRule type="cellIs" dxfId="1513" priority="22" stopIfTrue="1" operator="equal">
      <formula>"MTB"</formula>
    </cfRule>
  </conditionalFormatting>
  <conditionalFormatting sqref="A1:A1048576">
    <cfRule type="expression" dxfId="1512" priority="15" stopIfTrue="1">
      <formula>H1="CR"</formula>
    </cfRule>
    <cfRule type="expression" dxfId="1511" priority="16" stopIfTrue="1">
      <formula>H1="RR"</formula>
    </cfRule>
    <cfRule type="expression" dxfId="1510" priority="17" stopIfTrue="1">
      <formula>H1="FB"</formula>
    </cfRule>
    <cfRule type="expression" dxfId="1509" priority="18">
      <formula>H1="MTB"</formula>
    </cfRule>
  </conditionalFormatting>
  <conditionalFormatting sqref="M1:M1048576">
    <cfRule type="cellIs" dxfId="1508" priority="12" stopIfTrue="1" operator="between">
      <formula>1</formula>
      <formula>1.499</formula>
    </cfRule>
    <cfRule type="cellIs" dxfId="1507" priority="13" stopIfTrue="1" operator="between">
      <formula>1.5</formula>
      <formula>2</formula>
    </cfRule>
    <cfRule type="cellIs" dxfId="1506" priority="14" operator="between">
      <formula>2</formula>
      <formula>99.999</formula>
    </cfRule>
  </conditionalFormatting>
  <conditionalFormatting sqref="C1:C1048576">
    <cfRule type="cellIs" dxfId="1505" priority="7" stopIfTrue="1" operator="between">
      <formula>0</formula>
      <formula>19.99</formula>
    </cfRule>
    <cfRule type="cellIs" dxfId="1504" priority="8" stopIfTrue="1" operator="between">
      <formula>20</formula>
      <formula>49.99</formula>
    </cfRule>
    <cfRule type="cellIs" dxfId="1503" priority="9" stopIfTrue="1" operator="between">
      <formula>50</formula>
      <formula>99.9999</formula>
    </cfRule>
    <cfRule type="cellIs" dxfId="1502" priority="10" stopIfTrue="1" operator="between">
      <formula>100</formula>
      <formula>9999</formula>
    </cfRule>
  </conditionalFormatting>
  <conditionalFormatting sqref="D1:D1048576">
    <cfRule type="cellIs" dxfId="1501" priority="1" stopIfTrue="1" operator="between">
      <formula>0</formula>
      <formula>99.99</formula>
    </cfRule>
    <cfRule type="cellIs" dxfId="1500" priority="2" stopIfTrue="1" operator="between">
      <formula>100</formula>
      <formula>499.99</formula>
    </cfRule>
    <cfRule type="cellIs" dxfId="1499" priority="3" stopIfTrue="1" operator="between">
      <formula>500</formula>
      <formula>999.99</formula>
    </cfRule>
    <cfRule type="cellIs" dxfId="1498" priority="4" stopIfTrue="1" operator="between">
      <formula>1000</formula>
      <formula>1499.99</formula>
    </cfRule>
    <cfRule type="cellIs" dxfId="1497" priority="5" stopIfTrue="1" operator="between">
      <formula>1500</formula>
      <formula>1999.99</formula>
    </cfRule>
  </conditionalFormatting>
  <conditionalFormatting sqref="D1:D1048576">
    <cfRule type="cellIs" dxfId="1496" priority="6" stopIfTrue="1" operator="between">
      <formula>2000</formula>
      <formula>9999.99</formula>
    </cfRule>
  </conditionalFormatting>
  <hyperlinks>
    <hyperlink ref="A1" r:id="rId1" tooltip="Normalstartpunkt für Touren ohne Anfahrt"/>
  </hyperlinks>
  <pageMargins left="0.7" right="0.7" top="0.78740157499999996" bottom="0.78740157499999996" header="0.3" footer="0.3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M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6" width="10.28515625" bestFit="1" customWidth="1"/>
    <col min="7" max="7" width="8.42578125" style="103" bestFit="1" customWidth="1"/>
    <col min="8" max="8" width="5.85546875" customWidth="1"/>
    <col min="9" max="12" width="2.28515625" style="5" bestFit="1" customWidth="1"/>
    <col min="13" max="13" width="4.5703125" style="11" bestFit="1" customWidth="1"/>
  </cols>
  <sheetData>
    <row r="1" spans="1:13" s="33" customFormat="1" x14ac:dyDescent="0.2">
      <c r="A1" s="32" t="s">
        <v>55</v>
      </c>
      <c r="B1" s="75" t="s">
        <v>0</v>
      </c>
      <c r="C1" s="232" t="s">
        <v>243</v>
      </c>
      <c r="D1" s="366" t="s">
        <v>2</v>
      </c>
      <c r="E1" s="23" t="s">
        <v>242</v>
      </c>
      <c r="F1" s="76" t="s">
        <v>1</v>
      </c>
      <c r="G1" s="47" t="s">
        <v>221</v>
      </c>
      <c r="H1" s="24" t="s">
        <v>3</v>
      </c>
      <c r="I1" s="158" t="s">
        <v>249</v>
      </c>
      <c r="J1" s="158" t="s">
        <v>250</v>
      </c>
      <c r="K1" s="158" t="s">
        <v>251</v>
      </c>
      <c r="L1" s="158" t="s">
        <v>252</v>
      </c>
      <c r="M1" s="159" t="s">
        <v>211</v>
      </c>
    </row>
    <row r="2" spans="1:13" x14ac:dyDescent="0.2">
      <c r="A2" s="1" t="s">
        <v>826</v>
      </c>
      <c r="B2" s="2">
        <v>0.2638888888888889</v>
      </c>
      <c r="C2" s="14">
        <v>82.9</v>
      </c>
      <c r="D2" s="13">
        <v>2230</v>
      </c>
      <c r="E2" s="12">
        <v>13.1</v>
      </c>
      <c r="F2" s="13">
        <v>482</v>
      </c>
      <c r="G2" s="103">
        <v>354</v>
      </c>
      <c r="H2" s="6" t="s">
        <v>6</v>
      </c>
      <c r="I2" s="5">
        <v>2</v>
      </c>
      <c r="J2" s="5">
        <v>1</v>
      </c>
      <c r="K2" s="5">
        <v>2</v>
      </c>
      <c r="L2" s="5">
        <v>1</v>
      </c>
      <c r="M2" s="11">
        <f t="shared" ref="M2:M8" si="0">AVERAGE(I2:L2)</f>
        <v>1.5</v>
      </c>
    </row>
    <row r="3" spans="1:13" x14ac:dyDescent="0.2">
      <c r="A3" s="1" t="s">
        <v>898</v>
      </c>
      <c r="B3" s="2">
        <v>0.20326576576576574</v>
      </c>
      <c r="C3" s="11">
        <v>77.2</v>
      </c>
      <c r="D3" s="13">
        <v>2050</v>
      </c>
      <c r="E3" s="12">
        <v>14.8</v>
      </c>
      <c r="F3" s="13">
        <v>482</v>
      </c>
      <c r="G3" s="103">
        <v>354</v>
      </c>
      <c r="H3" s="6" t="s">
        <v>6</v>
      </c>
      <c r="I3" s="103">
        <v>2</v>
      </c>
      <c r="J3" s="103">
        <v>1</v>
      </c>
      <c r="K3" s="103">
        <v>2</v>
      </c>
      <c r="L3" s="103">
        <v>1</v>
      </c>
      <c r="M3" s="11">
        <f t="shared" si="0"/>
        <v>1.5</v>
      </c>
    </row>
    <row r="4" spans="1:13" x14ac:dyDescent="0.2">
      <c r="A4" s="1" t="s">
        <v>827</v>
      </c>
      <c r="B4" s="2">
        <v>0.25</v>
      </c>
      <c r="C4" s="3">
        <v>78.3</v>
      </c>
      <c r="D4" s="13">
        <v>2025</v>
      </c>
      <c r="E4" s="12">
        <v>13.049999999999999</v>
      </c>
      <c r="F4" s="13">
        <v>482</v>
      </c>
      <c r="G4" s="103">
        <v>354</v>
      </c>
      <c r="H4" s="6" t="s">
        <v>6</v>
      </c>
      <c r="I4" s="5">
        <v>2</v>
      </c>
      <c r="J4" s="5">
        <v>1</v>
      </c>
      <c r="K4" s="5">
        <v>2</v>
      </c>
      <c r="L4" s="5">
        <v>1</v>
      </c>
      <c r="M4" s="11">
        <f t="shared" si="0"/>
        <v>1.5</v>
      </c>
    </row>
    <row r="5" spans="1:13" x14ac:dyDescent="0.2">
      <c r="A5" s="1" t="s">
        <v>850</v>
      </c>
      <c r="B5" s="2">
        <v>0.25</v>
      </c>
      <c r="C5" s="11">
        <v>75</v>
      </c>
      <c r="D5" s="13">
        <v>1917</v>
      </c>
      <c r="E5" s="12">
        <v>12.5</v>
      </c>
      <c r="F5" s="13">
        <v>482</v>
      </c>
      <c r="G5" s="103">
        <v>354</v>
      </c>
      <c r="H5" s="85" t="s">
        <v>6</v>
      </c>
      <c r="I5" s="103">
        <v>1</v>
      </c>
      <c r="J5" s="103">
        <v>1</v>
      </c>
      <c r="K5" s="103">
        <v>2</v>
      </c>
      <c r="L5" s="103">
        <v>1</v>
      </c>
      <c r="M5" s="11">
        <f t="shared" si="0"/>
        <v>1.25</v>
      </c>
    </row>
    <row r="6" spans="1:13" x14ac:dyDescent="0.2">
      <c r="A6" s="1" t="s">
        <v>395</v>
      </c>
      <c r="B6" s="2">
        <v>0.20734953703703704</v>
      </c>
      <c r="C6" s="11">
        <v>107.27</v>
      </c>
      <c r="D6" s="13">
        <v>1765</v>
      </c>
      <c r="E6" s="12">
        <v>21.5</v>
      </c>
      <c r="F6" s="8">
        <v>586</v>
      </c>
      <c r="G6" s="103">
        <v>376</v>
      </c>
      <c r="H6" s="6" t="s">
        <v>5</v>
      </c>
      <c r="I6" s="103">
        <v>3</v>
      </c>
      <c r="J6" s="103">
        <v>3</v>
      </c>
      <c r="K6" s="103">
        <v>2</v>
      </c>
      <c r="L6" s="103">
        <v>2</v>
      </c>
      <c r="M6" s="11">
        <f t="shared" si="0"/>
        <v>2.5</v>
      </c>
    </row>
    <row r="7" spans="1:13" x14ac:dyDescent="0.2">
      <c r="A7" s="1" t="s">
        <v>587</v>
      </c>
      <c r="B7" s="2">
        <v>0.20033564814814817</v>
      </c>
      <c r="C7" s="3">
        <v>109.87</v>
      </c>
      <c r="D7" s="84">
        <v>1755</v>
      </c>
      <c r="E7" s="12">
        <v>22.8</v>
      </c>
      <c r="F7" s="13">
        <v>581</v>
      </c>
      <c r="G7" s="103">
        <v>406</v>
      </c>
      <c r="H7" s="6" t="s">
        <v>5</v>
      </c>
      <c r="I7" s="5">
        <v>2</v>
      </c>
      <c r="J7" s="5">
        <v>1</v>
      </c>
      <c r="K7" s="5">
        <v>1</v>
      </c>
      <c r="L7" s="5">
        <v>1</v>
      </c>
      <c r="M7" s="11">
        <f t="shared" si="0"/>
        <v>1.25</v>
      </c>
    </row>
    <row r="8" spans="1:13" x14ac:dyDescent="0.2">
      <c r="A8" s="1" t="s">
        <v>301</v>
      </c>
      <c r="B8" s="2">
        <v>0.24417824074074077</v>
      </c>
      <c r="C8" s="14">
        <v>125.31</v>
      </c>
      <c r="D8" s="13">
        <v>1735</v>
      </c>
      <c r="E8" s="12">
        <v>21.4</v>
      </c>
      <c r="F8" s="13">
        <v>512</v>
      </c>
      <c r="G8" s="103">
        <v>298</v>
      </c>
      <c r="H8" t="s">
        <v>5</v>
      </c>
      <c r="I8" s="103">
        <v>3</v>
      </c>
      <c r="J8" s="103">
        <v>1</v>
      </c>
      <c r="K8" s="103">
        <v>2</v>
      </c>
      <c r="L8" s="103">
        <v>1</v>
      </c>
      <c r="M8" s="11">
        <f t="shared" si="0"/>
        <v>1.75</v>
      </c>
    </row>
    <row r="9" spans="1:13" x14ac:dyDescent="0.2">
      <c r="A9" s="1"/>
      <c r="F9" s="13"/>
      <c r="G9"/>
      <c r="I9"/>
      <c r="J9"/>
      <c r="K9"/>
      <c r="L9"/>
      <c r="M9"/>
    </row>
    <row r="10" spans="1:13" x14ac:dyDescent="0.2">
      <c r="A10" s="1"/>
      <c r="F10" s="13"/>
      <c r="G10"/>
      <c r="I10"/>
      <c r="J10"/>
      <c r="K10"/>
      <c r="L10"/>
      <c r="M10"/>
    </row>
    <row r="11" spans="1:13" x14ac:dyDescent="0.2">
      <c r="A11" s="1"/>
      <c r="F11" s="13"/>
      <c r="G11"/>
      <c r="I11"/>
      <c r="J11"/>
      <c r="K11"/>
      <c r="L11"/>
      <c r="M11"/>
    </row>
    <row r="12" spans="1:13" x14ac:dyDescent="0.2">
      <c r="A12" s="1"/>
      <c r="G12"/>
      <c r="I12"/>
      <c r="J12"/>
      <c r="K12"/>
      <c r="L12"/>
      <c r="M12"/>
    </row>
  </sheetData>
  <sortState ref="A2:O8">
    <sortCondition descending="1" ref="D1"/>
  </sortState>
  <conditionalFormatting sqref="G1:G1048576">
    <cfRule type="cellIs" dxfId="1495" priority="39" operator="between">
      <formula>400</formula>
      <formula>9999.99</formula>
    </cfRule>
    <cfRule type="cellIs" dxfId="1494" priority="40" operator="between">
      <formula>300</formula>
      <formula>399.99</formula>
    </cfRule>
    <cfRule type="cellIs" dxfId="1493" priority="41" operator="between">
      <formula>0</formula>
      <formula>299.99</formula>
    </cfRule>
  </conditionalFormatting>
  <conditionalFormatting sqref="B1:B1048576">
    <cfRule type="cellIs" dxfId="1492" priority="28" stopIfTrue="1" operator="between">
      <formula>0</formula>
      <formula>0.041666665</formula>
    </cfRule>
    <cfRule type="cellIs" dxfId="1491" priority="29" stopIfTrue="1" operator="between">
      <formula>0.0416666666666667</formula>
      <formula>0.124999884259259</formula>
    </cfRule>
    <cfRule type="cellIs" dxfId="1490" priority="36" stopIfTrue="1" operator="between">
      <formula>0.125</formula>
      <formula>0.166666550925926</formula>
    </cfRule>
    <cfRule type="cellIs" dxfId="1489" priority="37" stopIfTrue="1" operator="between">
      <formula>0.0833333333333333</formula>
      <formula>0.208333217592593</formula>
    </cfRule>
    <cfRule type="cellIs" dxfId="1488" priority="38" stopIfTrue="1" operator="between">
      <formula>0.208333333333333</formula>
      <formula>4.16666655092593</formula>
    </cfRule>
  </conditionalFormatting>
  <conditionalFormatting sqref="E1:E1048576">
    <cfRule type="cellIs" dxfId="1487" priority="33" stopIfTrue="1" operator="between">
      <formula>0</formula>
      <formula>19.99</formula>
    </cfRule>
    <cfRule type="cellIs" dxfId="1486" priority="34" stopIfTrue="1" operator="between">
      <formula>10</formula>
      <formula>24.99</formula>
    </cfRule>
    <cfRule type="cellIs" dxfId="1485" priority="35" stopIfTrue="1" operator="between">
      <formula>25</formula>
      <formula>99.99</formula>
    </cfRule>
  </conditionalFormatting>
  <conditionalFormatting sqref="I1:L1048576">
    <cfRule type="cellIs" dxfId="1484" priority="30" operator="equal">
      <formula>1</formula>
    </cfRule>
    <cfRule type="cellIs" dxfId="1483" priority="31" operator="equal">
      <formula>2</formula>
    </cfRule>
    <cfRule type="cellIs" dxfId="1482" priority="32" operator="equal">
      <formula>3</formula>
    </cfRule>
  </conditionalFormatting>
  <conditionalFormatting sqref="F1:F1048576">
    <cfRule type="cellIs" dxfId="1481" priority="22" stopIfTrue="1" operator="between">
      <formula>0</formula>
      <formula>399.99</formula>
    </cfRule>
    <cfRule type="cellIs" dxfId="1480" priority="23" stopIfTrue="1" operator="between">
      <formula>400</formula>
      <formula>449.99</formula>
    </cfRule>
    <cfRule type="cellIs" dxfId="1479" priority="24" stopIfTrue="1" operator="between">
      <formula>450</formula>
      <formula>499.99</formula>
    </cfRule>
    <cfRule type="cellIs" dxfId="1478" priority="25" stopIfTrue="1" operator="between">
      <formula>500</formula>
      <formula>549.99</formula>
    </cfRule>
    <cfRule type="cellIs" dxfId="1477" priority="26" stopIfTrue="1" operator="between">
      <formula>550</formula>
      <formula>599.99</formula>
    </cfRule>
  </conditionalFormatting>
  <conditionalFormatting sqref="F1:F1048576">
    <cfRule type="cellIs" dxfId="1476" priority="27" stopIfTrue="1" operator="between">
      <formula>600</formula>
      <formula>9999.99</formula>
    </cfRule>
  </conditionalFormatting>
  <conditionalFormatting sqref="H1:H1048576">
    <cfRule type="cellIs" dxfId="1475" priority="18" stopIfTrue="1" operator="equal">
      <formula>"CR"</formula>
    </cfRule>
    <cfRule type="cellIs" dxfId="1474" priority="19" stopIfTrue="1" operator="equal">
      <formula>"FB"</formula>
    </cfRule>
    <cfRule type="cellIs" dxfId="1473" priority="20" stopIfTrue="1" operator="equal">
      <formula>"RR"</formula>
    </cfRule>
    <cfRule type="cellIs" dxfId="1472" priority="21" stopIfTrue="1" operator="equal">
      <formula>"MTB"</formula>
    </cfRule>
  </conditionalFormatting>
  <conditionalFormatting sqref="A1:A1048576">
    <cfRule type="expression" dxfId="1471" priority="14" stopIfTrue="1">
      <formula>H1="CR"</formula>
    </cfRule>
    <cfRule type="expression" dxfId="1470" priority="15" stopIfTrue="1">
      <formula>H1="RR"</formula>
    </cfRule>
    <cfRule type="expression" dxfId="1469" priority="16" stopIfTrue="1">
      <formula>H1="FB"</formula>
    </cfRule>
    <cfRule type="expression" dxfId="1468" priority="17">
      <formula>H1="MTB"</formula>
    </cfRule>
  </conditionalFormatting>
  <conditionalFormatting sqref="M1:M1048576">
    <cfRule type="cellIs" dxfId="1467" priority="11" stopIfTrue="1" operator="between">
      <formula>1</formula>
      <formula>1.499</formula>
    </cfRule>
    <cfRule type="cellIs" dxfId="1466" priority="12" stopIfTrue="1" operator="between">
      <formula>1.5</formula>
      <formula>2</formula>
    </cfRule>
    <cfRule type="cellIs" dxfId="1465" priority="13" operator="between">
      <formula>2</formula>
      <formula>99.999</formula>
    </cfRule>
  </conditionalFormatting>
  <conditionalFormatting sqref="C1:C1048576">
    <cfRule type="cellIs" dxfId="1464" priority="7" stopIfTrue="1" operator="between">
      <formula>0</formula>
      <formula>19.99</formula>
    </cfRule>
    <cfRule type="cellIs" dxfId="1463" priority="8" stopIfTrue="1" operator="between">
      <formula>20</formula>
      <formula>49.99</formula>
    </cfRule>
    <cfRule type="cellIs" dxfId="1462" priority="9" stopIfTrue="1" operator="between">
      <formula>50</formula>
      <formula>99.9999</formula>
    </cfRule>
    <cfRule type="cellIs" dxfId="1461" priority="10" stopIfTrue="1" operator="between">
      <formula>100</formula>
      <formula>9999</formula>
    </cfRule>
  </conditionalFormatting>
  <conditionalFormatting sqref="D1:D1048576">
    <cfRule type="cellIs" dxfId="1460" priority="1" stopIfTrue="1" operator="between">
      <formula>0</formula>
      <formula>99.99</formula>
    </cfRule>
    <cfRule type="cellIs" dxfId="1459" priority="2" stopIfTrue="1" operator="between">
      <formula>100</formula>
      <formula>499.99</formula>
    </cfRule>
    <cfRule type="cellIs" dxfId="1458" priority="3" stopIfTrue="1" operator="between">
      <formula>500</formula>
      <formula>999.99</formula>
    </cfRule>
    <cfRule type="cellIs" dxfId="1457" priority="4" stopIfTrue="1" operator="between">
      <formula>1000</formula>
      <formula>1499.99</formula>
    </cfRule>
    <cfRule type="cellIs" dxfId="1456" priority="5" stopIfTrue="1" operator="between">
      <formula>1500</formula>
      <formula>1999.99</formula>
    </cfRule>
  </conditionalFormatting>
  <conditionalFormatting sqref="D1:D1048576">
    <cfRule type="cellIs" dxfId="1455" priority="6" stopIfTrue="1" operator="between">
      <formula>2000</formula>
      <formula>9999.99</formula>
    </cfRule>
  </conditionalFormatting>
  <hyperlinks>
    <hyperlink ref="A1" r:id="rId1" tooltip="Normalstartpunkt für Touren ohne Anfahrt"/>
  </hyperlinks>
  <pageMargins left="0.7" right="0.7" top="0.78740157499999996" bottom="0.78740157499999996" header="0.3" footer="0.3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9966"/>
  </sheetPr>
  <dimension ref="A1:H47"/>
  <sheetViews>
    <sheetView workbookViewId="0">
      <pane ySplit="1" topLeftCell="A2" activePane="bottomLeft" state="frozen"/>
      <selection pane="bottomLeft" activeCell="E1" sqref="E1"/>
    </sheetView>
  </sheetViews>
  <sheetFormatPr baseColWidth="10" defaultColWidth="11.42578125" defaultRowHeight="12.75" x14ac:dyDescent="0.2"/>
  <cols>
    <col min="1" max="1" width="38.5703125" style="1" customWidth="1"/>
    <col min="2" max="2" width="9.28515625" style="2" customWidth="1"/>
    <col min="3" max="4" width="8.28515625" style="11" customWidth="1"/>
    <col min="5" max="5" width="8" customWidth="1"/>
    <col min="6" max="6" width="8.28515625" style="12" customWidth="1"/>
    <col min="7" max="7" width="10.28515625" bestFit="1" customWidth="1"/>
    <col min="8" max="8" width="5.85546875" customWidth="1"/>
  </cols>
  <sheetData>
    <row r="1" spans="1:8" s="33" customFormat="1" x14ac:dyDescent="0.2">
      <c r="A1" s="197" t="s">
        <v>55</v>
      </c>
      <c r="B1" s="75" t="s">
        <v>0</v>
      </c>
      <c r="C1" s="232" t="s">
        <v>243</v>
      </c>
      <c r="D1" s="232" t="s">
        <v>944</v>
      </c>
      <c r="E1" s="366" t="s">
        <v>2</v>
      </c>
      <c r="F1" s="23" t="s">
        <v>242</v>
      </c>
      <c r="G1" s="76" t="s">
        <v>1</v>
      </c>
      <c r="H1" s="24" t="s">
        <v>3</v>
      </c>
    </row>
    <row r="2" spans="1:8" x14ac:dyDescent="0.2">
      <c r="A2" s="1" t="s">
        <v>942</v>
      </c>
      <c r="B2" s="2">
        <v>7.2916666666666671E-2</v>
      </c>
      <c r="C2" s="14">
        <v>27</v>
      </c>
      <c r="D2" s="14">
        <v>2</v>
      </c>
      <c r="E2" s="13">
        <v>400</v>
      </c>
      <c r="F2" s="9">
        <v>15.428571428571427</v>
      </c>
      <c r="G2" s="13">
        <v>495</v>
      </c>
      <c r="H2" s="6" t="s">
        <v>645</v>
      </c>
    </row>
    <row r="3" spans="1:8" x14ac:dyDescent="0.2">
      <c r="A3" s="1" t="s">
        <v>947</v>
      </c>
      <c r="B3" s="2">
        <v>5.2083333333333336E-2</v>
      </c>
      <c r="C3" s="11">
        <v>18.399999999999999</v>
      </c>
      <c r="D3" s="11">
        <v>1.2</v>
      </c>
      <c r="E3" s="13">
        <v>345</v>
      </c>
      <c r="F3" s="4">
        <v>14.719999999999999</v>
      </c>
      <c r="G3" s="13">
        <v>454</v>
      </c>
      <c r="H3" s="6" t="s">
        <v>6</v>
      </c>
    </row>
    <row r="4" spans="1:8" x14ac:dyDescent="0.2">
      <c r="A4" s="1" t="s">
        <v>946</v>
      </c>
      <c r="B4" s="2">
        <v>4.1666666666666664E-2</v>
      </c>
      <c r="C4" s="11">
        <v>12.3</v>
      </c>
      <c r="D4" s="11">
        <v>1.3</v>
      </c>
      <c r="E4" s="84">
        <v>320</v>
      </c>
      <c r="F4" s="12">
        <v>12.3</v>
      </c>
      <c r="G4" s="84">
        <v>443</v>
      </c>
      <c r="H4" s="85" t="s">
        <v>645</v>
      </c>
    </row>
    <row r="5" spans="1:8" x14ac:dyDescent="0.2">
      <c r="A5" s="1" t="s">
        <v>943</v>
      </c>
      <c r="B5" s="2">
        <v>6.9942129629629632E-2</v>
      </c>
      <c r="C5" s="11">
        <v>31</v>
      </c>
      <c r="D5" s="11">
        <v>1.5</v>
      </c>
      <c r="E5" s="13">
        <v>241</v>
      </c>
      <c r="F5" s="12">
        <v>18.5</v>
      </c>
      <c r="G5" s="13">
        <v>261</v>
      </c>
      <c r="H5" s="6" t="s">
        <v>645</v>
      </c>
    </row>
    <row r="6" spans="1:8" x14ac:dyDescent="0.2">
      <c r="A6" s="1" t="s">
        <v>948</v>
      </c>
      <c r="B6" s="2">
        <v>4.6180555555555558E-2</v>
      </c>
      <c r="C6" s="3">
        <v>15</v>
      </c>
      <c r="D6" s="3">
        <v>1.4</v>
      </c>
      <c r="E6" s="84">
        <v>330</v>
      </c>
      <c r="F6" s="12">
        <v>13.5</v>
      </c>
      <c r="G6" s="13">
        <v>455</v>
      </c>
      <c r="H6" s="231" t="s">
        <v>645</v>
      </c>
    </row>
    <row r="7" spans="1:8" x14ac:dyDescent="0.2">
      <c r="C7" s="14"/>
      <c r="D7" s="14"/>
      <c r="E7" s="13"/>
    </row>
    <row r="8" spans="1:8" x14ac:dyDescent="0.2">
      <c r="C8" s="120"/>
      <c r="D8" s="120"/>
      <c r="E8" s="13"/>
      <c r="H8" s="6"/>
    </row>
    <row r="9" spans="1:8" x14ac:dyDescent="0.2">
      <c r="E9" s="13"/>
    </row>
    <row r="11" spans="1:8" x14ac:dyDescent="0.2">
      <c r="C11" s="3"/>
      <c r="D11" s="3"/>
      <c r="E11" s="5"/>
      <c r="F11" s="9"/>
      <c r="G11" s="13"/>
      <c r="H11" s="231"/>
    </row>
    <row r="13" spans="1:8" x14ac:dyDescent="0.2">
      <c r="C13" s="3"/>
      <c r="D13" s="3"/>
      <c r="E13" s="8"/>
      <c r="G13" s="13"/>
      <c r="H13" s="231"/>
    </row>
    <row r="14" spans="1:8" x14ac:dyDescent="0.2">
      <c r="C14" s="3"/>
      <c r="D14" s="3"/>
      <c r="E14" s="13"/>
      <c r="G14" s="13"/>
      <c r="H14" s="6"/>
    </row>
    <row r="15" spans="1:8" x14ac:dyDescent="0.2">
      <c r="C15" s="14"/>
      <c r="D15" s="14"/>
      <c r="E15" s="13"/>
      <c r="F15" s="9"/>
      <c r="G15" s="13"/>
      <c r="H15" s="6"/>
    </row>
    <row r="16" spans="1:8" x14ac:dyDescent="0.2">
      <c r="H16" s="198"/>
    </row>
    <row r="18" spans="3:8" x14ac:dyDescent="0.2">
      <c r="E18" s="13"/>
      <c r="F18" s="9"/>
      <c r="G18" s="13"/>
      <c r="H18" s="6"/>
    </row>
    <row r="19" spans="3:8" x14ac:dyDescent="0.2">
      <c r="C19" s="14"/>
      <c r="D19" s="14"/>
      <c r="E19" s="13"/>
    </row>
    <row r="22" spans="3:8" x14ac:dyDescent="0.2">
      <c r="C22" s="14"/>
      <c r="D22" s="14"/>
      <c r="E22" s="13"/>
      <c r="F22" s="9"/>
      <c r="G22" s="13"/>
      <c r="H22" s="233"/>
    </row>
    <row r="23" spans="3:8" x14ac:dyDescent="0.2">
      <c r="C23" s="3"/>
      <c r="D23" s="3"/>
      <c r="E23" s="13"/>
      <c r="F23" s="9"/>
      <c r="G23" s="13"/>
      <c r="H23" s="6"/>
    </row>
    <row r="24" spans="3:8" x14ac:dyDescent="0.2">
      <c r="C24" s="14"/>
      <c r="D24" s="14"/>
      <c r="E24" s="8"/>
    </row>
    <row r="25" spans="3:8" x14ac:dyDescent="0.2">
      <c r="C25" s="14"/>
      <c r="D25" s="14"/>
      <c r="E25" s="8"/>
    </row>
    <row r="26" spans="3:8" x14ac:dyDescent="0.2">
      <c r="C26" s="3"/>
      <c r="D26" s="3"/>
      <c r="E26" s="13"/>
      <c r="F26" s="4"/>
      <c r="H26" s="6"/>
    </row>
    <row r="27" spans="3:8" x14ac:dyDescent="0.2">
      <c r="C27" s="14"/>
      <c r="D27" s="14"/>
      <c r="E27" s="13"/>
      <c r="F27" s="9"/>
      <c r="G27" s="13"/>
      <c r="H27" s="6"/>
    </row>
    <row r="28" spans="3:8" x14ac:dyDescent="0.2">
      <c r="E28" s="13"/>
    </row>
    <row r="29" spans="3:8" x14ac:dyDescent="0.2">
      <c r="C29" s="3"/>
      <c r="D29" s="3"/>
      <c r="E29" s="13"/>
      <c r="F29" s="9"/>
      <c r="G29" s="13"/>
      <c r="H29" s="16"/>
    </row>
    <row r="30" spans="3:8" x14ac:dyDescent="0.2">
      <c r="C30" s="3"/>
      <c r="D30" s="3"/>
      <c r="E30" s="8"/>
      <c r="F30" s="9"/>
      <c r="G30" s="13"/>
      <c r="H30" s="6"/>
    </row>
    <row r="31" spans="3:8" x14ac:dyDescent="0.2">
      <c r="C31" s="3"/>
      <c r="D31" s="3"/>
      <c r="E31" s="13"/>
      <c r="F31" s="9"/>
      <c r="G31" s="13"/>
      <c r="H31" s="6"/>
    </row>
    <row r="32" spans="3:8" x14ac:dyDescent="0.2">
      <c r="E32" s="8"/>
      <c r="F32" s="9"/>
      <c r="G32" s="13"/>
      <c r="H32" s="85"/>
    </row>
    <row r="33" spans="3:8" x14ac:dyDescent="0.2">
      <c r="C33" s="3"/>
      <c r="D33" s="3"/>
      <c r="E33" s="13"/>
      <c r="F33" s="9"/>
      <c r="G33" s="13"/>
      <c r="H33" s="6"/>
    </row>
    <row r="34" spans="3:8" x14ac:dyDescent="0.2">
      <c r="C34" s="3"/>
      <c r="D34" s="3"/>
      <c r="E34" s="8"/>
      <c r="F34" s="9"/>
      <c r="G34" s="13"/>
      <c r="H34" s="6"/>
    </row>
    <row r="35" spans="3:8" x14ac:dyDescent="0.2">
      <c r="C35" s="3"/>
      <c r="D35" s="3"/>
      <c r="E35" s="13"/>
      <c r="G35" s="13"/>
      <c r="H35" s="6"/>
    </row>
    <row r="36" spans="3:8" x14ac:dyDescent="0.2">
      <c r="E36" s="13"/>
      <c r="G36" s="13"/>
      <c r="H36" s="6"/>
    </row>
    <row r="37" spans="3:8" x14ac:dyDescent="0.2">
      <c r="C37" s="3"/>
      <c r="D37" s="3"/>
      <c r="E37" s="13"/>
      <c r="G37" s="13"/>
    </row>
    <row r="38" spans="3:8" x14ac:dyDescent="0.2">
      <c r="C38" s="3"/>
      <c r="D38" s="3"/>
      <c r="E38" s="13"/>
      <c r="F38" s="9"/>
      <c r="G38" s="13"/>
    </row>
    <row r="39" spans="3:8" x14ac:dyDescent="0.2">
      <c r="C39" s="3"/>
      <c r="D39" s="3"/>
      <c r="E39" s="13"/>
      <c r="F39" s="4"/>
      <c r="G39" s="13"/>
    </row>
    <row r="40" spans="3:8" x14ac:dyDescent="0.2">
      <c r="E40" s="13"/>
      <c r="F40" s="9"/>
    </row>
    <row r="41" spans="3:8" x14ac:dyDescent="0.2">
      <c r="G41" s="13"/>
      <c r="H41" s="6"/>
    </row>
    <row r="44" spans="3:8" x14ac:dyDescent="0.2">
      <c r="F44" s="9"/>
    </row>
    <row r="46" spans="3:8" x14ac:dyDescent="0.2">
      <c r="F46" s="9"/>
    </row>
    <row r="47" spans="3:8" x14ac:dyDescent="0.2">
      <c r="F47" s="9"/>
    </row>
  </sheetData>
  <sortState ref="A2:H5">
    <sortCondition descending="1" ref="E1"/>
  </sortState>
  <conditionalFormatting sqref="E1:E1048576">
    <cfRule type="cellIs" dxfId="1454" priority="1" stopIfTrue="1" operator="between">
      <formula>0</formula>
      <formula>99.99</formula>
    </cfRule>
    <cfRule type="cellIs" dxfId="1453" priority="2" stopIfTrue="1" operator="between">
      <formula>100</formula>
      <formula>499.99</formula>
    </cfRule>
    <cfRule type="cellIs" dxfId="1452" priority="3" stopIfTrue="1" operator="between">
      <formula>500</formula>
      <formula>999.99</formula>
    </cfRule>
    <cfRule type="cellIs" dxfId="1451" priority="4" stopIfTrue="1" operator="between">
      <formula>1000</formula>
      <formula>1499.99</formula>
    </cfRule>
    <cfRule type="cellIs" dxfId="1450" priority="5" stopIfTrue="1" operator="between">
      <formula>1500</formula>
      <formula>1999.99</formula>
    </cfRule>
  </conditionalFormatting>
  <conditionalFormatting sqref="F1:F1048576">
    <cfRule type="cellIs" dxfId="1449" priority="30" stopIfTrue="1" operator="between">
      <formula>0</formula>
      <formula>19.99</formula>
    </cfRule>
    <cfRule type="cellIs" dxfId="1448" priority="31" stopIfTrue="1" operator="between">
      <formula>10</formula>
      <formula>24.99</formula>
    </cfRule>
    <cfRule type="cellIs" dxfId="1447" priority="32" stopIfTrue="1" operator="between">
      <formula>25</formula>
      <formula>99.99</formula>
    </cfRule>
  </conditionalFormatting>
  <conditionalFormatting sqref="B1:B1048576">
    <cfRule type="cellIs" dxfId="1446" priority="25" stopIfTrue="1" operator="between">
      <formula>0</formula>
      <formula>0.041666665</formula>
    </cfRule>
    <cfRule type="cellIs" dxfId="1445" priority="26" stopIfTrue="1" operator="between">
      <formula>0.0416666666666667</formula>
      <formula>0.124999884259259</formula>
    </cfRule>
    <cfRule type="cellIs" dxfId="1444" priority="27" stopIfTrue="1" operator="between">
      <formula>0.125</formula>
      <formula>0.166666550925926</formula>
    </cfRule>
    <cfRule type="cellIs" dxfId="1443" priority="28" stopIfTrue="1" operator="between">
      <formula>0.0833333333333333</formula>
      <formula>0.208333217592593</formula>
    </cfRule>
    <cfRule type="cellIs" dxfId="1442" priority="29" stopIfTrue="1" operator="between">
      <formula>0.208333333333333</formula>
      <formula>4.16666655092593</formula>
    </cfRule>
  </conditionalFormatting>
  <conditionalFormatting sqref="G1:G1048576">
    <cfRule type="cellIs" dxfId="1441" priority="19" stopIfTrue="1" operator="between">
      <formula>0</formula>
      <formula>399.99</formula>
    </cfRule>
    <cfRule type="cellIs" dxfId="1440" priority="20" stopIfTrue="1" operator="between">
      <formula>400</formula>
      <formula>449.99</formula>
    </cfRule>
    <cfRule type="cellIs" dxfId="1439" priority="21" stopIfTrue="1" operator="between">
      <formula>450</formula>
      <formula>499.99</formula>
    </cfRule>
    <cfRule type="cellIs" dxfId="1438" priority="22" stopIfTrue="1" operator="between">
      <formula>500</formula>
      <formula>549.99</formula>
    </cfRule>
    <cfRule type="cellIs" dxfId="1437" priority="23" stopIfTrue="1" operator="between">
      <formula>550</formula>
      <formula>599.99</formula>
    </cfRule>
  </conditionalFormatting>
  <conditionalFormatting sqref="G1:G1048576">
    <cfRule type="cellIs" dxfId="1436" priority="24" stopIfTrue="1" operator="between">
      <formula>600</formula>
      <formula>9999.99</formula>
    </cfRule>
  </conditionalFormatting>
  <conditionalFormatting sqref="H1:H1048576">
    <cfRule type="cellIs" dxfId="1435" priority="15" stopIfTrue="1" operator="equal">
      <formula>"CR"</formula>
    </cfRule>
    <cfRule type="cellIs" dxfId="1434" priority="16" stopIfTrue="1" operator="equal">
      <formula>"FB"</formula>
    </cfRule>
    <cfRule type="cellIs" dxfId="1433" priority="17" stopIfTrue="1" operator="equal">
      <formula>"RR"</formula>
    </cfRule>
    <cfRule type="cellIs" dxfId="1432" priority="18" stopIfTrue="1" operator="equal">
      <formula>"MTB"</formula>
    </cfRule>
  </conditionalFormatting>
  <conditionalFormatting sqref="A1:A1048576">
    <cfRule type="expression" dxfId="1431" priority="11" stopIfTrue="1">
      <formula>H1="CR"</formula>
    </cfRule>
    <cfRule type="expression" dxfId="1430" priority="12" stopIfTrue="1">
      <formula>H1="RR"</formula>
    </cfRule>
    <cfRule type="expression" dxfId="1429" priority="13" stopIfTrue="1">
      <formula>H1="FB"</formula>
    </cfRule>
    <cfRule type="expression" dxfId="1428" priority="14" stopIfTrue="1">
      <formula>H1="MTB"</formula>
    </cfRule>
  </conditionalFormatting>
  <conditionalFormatting sqref="C1:D1048576">
    <cfRule type="cellIs" dxfId="1427" priority="7" stopIfTrue="1" operator="between">
      <formula>0</formula>
      <formula>19.99</formula>
    </cfRule>
    <cfRule type="cellIs" dxfId="1426" priority="8" stopIfTrue="1" operator="between">
      <formula>20</formula>
      <formula>49.99</formula>
    </cfRule>
    <cfRule type="cellIs" dxfId="1425" priority="9" stopIfTrue="1" operator="between">
      <formula>50</formula>
      <formula>99.9999</formula>
    </cfRule>
    <cfRule type="cellIs" dxfId="1424" priority="10" stopIfTrue="1" operator="between">
      <formula>100</formula>
      <formula>9999</formula>
    </cfRule>
  </conditionalFormatting>
  <conditionalFormatting sqref="E1:E1048576">
    <cfRule type="cellIs" dxfId="1423" priority="6" stopIfTrue="1" operator="between">
      <formula>2000</formula>
      <formula>9999.99</formula>
    </cfRule>
  </conditionalFormatting>
  <hyperlinks>
    <hyperlink ref="A1" r:id="rId1" tooltip="Normalstartpunkt für Touren ohne Anfahrt"/>
  </hyperlinks>
  <pageMargins left="0.7" right="0.7" top="0.78740157499999996" bottom="0.78740157499999996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29</vt:i4>
      </vt:variant>
      <vt:variant>
        <vt:lpstr>Diagramme</vt:lpstr>
      </vt:variant>
      <vt:variant>
        <vt:i4>3</vt:i4>
      </vt:variant>
    </vt:vector>
  </HeadingPairs>
  <TitlesOfParts>
    <vt:vector size="32" baseType="lpstr">
      <vt:lpstr>Touren</vt:lpstr>
      <vt:lpstr>Flach</vt:lpstr>
      <vt:lpstr>Wellig</vt:lpstr>
      <vt:lpstr>Hügelig</vt:lpstr>
      <vt:lpstr>Bergig</vt:lpstr>
      <vt:lpstr>Gebirgig</vt:lpstr>
      <vt:lpstr>Alpin</vt:lpstr>
      <vt:lpstr>HC</vt:lpstr>
      <vt:lpstr>X</vt:lpstr>
      <vt:lpstr>Laps</vt:lpstr>
      <vt:lpstr>Group</vt:lpstr>
      <vt:lpstr>Race</vt:lpstr>
      <vt:lpstr>Region</vt:lpstr>
      <vt:lpstr>Auswärts</vt:lpstr>
      <vt:lpstr>Vergleich</vt:lpstr>
      <vt:lpstr>Urlaub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stat</vt:lpstr>
      <vt:lpstr>tmp</vt:lpstr>
      <vt:lpstr>Stetigkeit</vt:lpstr>
      <vt:lpstr>Steigung</vt:lpstr>
      <vt:lpstr>Länge</vt:lpstr>
    </vt:vector>
  </TitlesOfParts>
  <Company>fansoft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</dc:creator>
  <cp:lastModifiedBy>HP</cp:lastModifiedBy>
  <cp:lastPrinted>2005-12-10T19:48:43Z</cp:lastPrinted>
  <dcterms:created xsi:type="dcterms:W3CDTF">2005-12-04T19:40:23Z</dcterms:created>
  <dcterms:modified xsi:type="dcterms:W3CDTF">2020-08-02T07:04:45Z</dcterms:modified>
</cp:coreProperties>
</file>