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5419DD5B-8D8B-4648-8C9C-075E5D5BE107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+ 0.5ℓ Cola, Skisocken, Träger nicht X)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
2023-02-11 8:00 - 12:00 0 - 3 °C Sonne/Wind; Hasloch Straße; Wende Kläranlage: 75 km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<sst xmlns="http://schemas.openxmlformats.org/spreadsheetml/2006/main" count="2919" uniqueCount="952">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</sst>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11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155" bestFit="1" customWidth="1"/>
    <col min="11" max="14" width="2.28515625" style="5" bestFit="1" customWidth="1"/>
    <col min="15" max="15" width="4.5703125" style="11" bestFit="1" customWidth="1"/>
  </cols>
  <sheetData>
    <row r="1" spans="1:15" s="137" customFormat="1" x14ac:dyDescent="0.2">
      <c r="A1" s="161" t="s">
        <v>55</v>
      </c>
      <c r="B1" s="22" t="s">
        <v>0</v>
      </c>
      <c r="C1" s="192" t="s">
        <v>238</v>
      </c>
      <c r="D1" s="21" t="s">
        <v>2</v>
      </c>
      <c r="E1" s="24" t="s">
        <v>237</v>
      </c>
      <c r="F1" s="21" t="s">
        <v>24</v>
      </c>
      <c r="G1" s="307" t="s">
        <v>1</v>
      </c>
      <c r="H1" s="24" t="s">
        <v>3</v>
      </c>
      <c r="I1" s="24" t="s">
        <v>22</v>
      </c>
      <c r="J1" s="24" t="s">
        <v>84</v>
      </c>
      <c r="K1" s="136" t="s">
        <v>244</v>
      </c>
      <c r="L1" s="136" t="s">
        <v>245</v>
      </c>
      <c r="M1" s="136" t="s">
        <v>246</v>
      </c>
      <c r="N1" s="136" t="s">
        <v>247</v>
      </c>
      <c r="O1" s="24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5" t="s">
        <v>89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91" t="s">
        <v>5</v>
      </c>
      <c r="I3" s="18">
        <f t="shared" si="0"/>
        <v>1.6276477146042363E-2</v>
      </c>
      <c r="J3" s="155" t="s">
        <v>89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5" t="s">
        <v>90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155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5" t="s">
        <v>89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91" t="s">
        <v>5</v>
      </c>
      <c r="I7" s="18">
        <f t="shared" si="0"/>
        <v>1.8641595072134868E-2</v>
      </c>
      <c r="J7" s="155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5" t="s">
        <v>89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5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155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5" t="s">
        <v>89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5" t="s">
        <v>89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155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5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155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5" t="s">
        <v>90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5" t="s">
        <v>89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5" t="s">
        <v>89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5" t="s">
        <v>90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5" t="s">
        <v>89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5" t="s">
        <v>89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7" t="s">
        <v>89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91" t="s">
        <v>5</v>
      </c>
      <c r="I23" s="18">
        <f t="shared" si="0"/>
        <v>2.7922561429635145E-2</v>
      </c>
      <c r="J23" s="187" t="s">
        <v>89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91" t="s">
        <v>6</v>
      </c>
      <c r="I24" s="18">
        <f t="shared" si="0"/>
        <v>3.1054461181923523E-2</v>
      </c>
      <c r="J24" s="187" t="s">
        <v>90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7" t="s">
        <v>89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7" t="s">
        <v>89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7" t="s">
        <v>89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3" t="s">
        <v>6</v>
      </c>
      <c r="I28" s="18">
        <f t="shared" si="0"/>
        <v>2.6850690087829362E-2</v>
      </c>
      <c r="J28" s="155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7" t="s">
        <v>89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155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7" t="s">
        <v>89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7" t="s">
        <v>89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7" t="s">
        <v>89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7" t="s">
        <v>89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7" t="s">
        <v>90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7" t="s">
        <v>89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7" t="s">
        <v>90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7" t="s">
        <v>89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5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7" t="s">
        <v>89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5" t="s">
        <v>90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5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155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155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155" bestFit="1" customWidth="1"/>
    <col min="9" max="9" width="8" style="134" bestFit="1" customWidth="1"/>
    <col min="10" max="10" width="5.85546875" customWidth="1"/>
  </cols>
  <sheetData>
    <row r="1" spans="1:12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1" t="s">
        <v>305</v>
      </c>
      <c r="H1" s="24" t="s">
        <v>306</v>
      </c>
      <c r="I1" s="42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155" t="s">
        <v>414</v>
      </c>
      <c r="I2" s="134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0" t="s">
        <v>414</v>
      </c>
      <c r="I3" s="133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72">
        <f t="shared" si="0"/>
        <v>1990</v>
      </c>
      <c r="H4" s="30" t="s">
        <v>414</v>
      </c>
      <c r="I4" s="133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72">
        <v>1456</v>
      </c>
      <c r="E5" s="9">
        <v>12</v>
      </c>
      <c r="F5" s="13">
        <v>436</v>
      </c>
      <c r="G5" s="13">
        <f t="shared" si="0"/>
        <v>1586</v>
      </c>
      <c r="H5" s="30" t="s">
        <v>414</v>
      </c>
      <c r="I5" s="133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0" t="s">
        <v>85</v>
      </c>
      <c r="I6" s="133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0" t="s">
        <v>85</v>
      </c>
      <c r="I7" s="133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155" t="s">
        <v>85</v>
      </c>
      <c r="I8" s="134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06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0" t="s">
        <v>85</v>
      </c>
      <c r="I9" s="134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0" t="s">
        <v>85</v>
      </c>
      <c r="I10" s="134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0" t="s">
        <v>85</v>
      </c>
      <c r="I11" s="134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0" t="s">
        <v>85</v>
      </c>
      <c r="I12" s="133">
        <v>3</v>
      </c>
      <c r="J12" s="6" t="s">
        <v>5</v>
      </c>
      <c r="K12" s="40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0" t="s">
        <v>86</v>
      </c>
      <c r="I13" s="135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0" t="s">
        <v>87</v>
      </c>
      <c r="I14" s="134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0" t="s">
        <v>88</v>
      </c>
      <c r="I15" s="133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0" t="s">
        <v>88</v>
      </c>
      <c r="I16" s="133">
        <v>2</v>
      </c>
      <c r="J16" s="6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0" t="s">
        <v>88</v>
      </c>
      <c r="I17" s="133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0" t="s">
        <v>88</v>
      </c>
      <c r="I18" s="134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0" t="s">
        <v>90</v>
      </c>
      <c r="I19" s="133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0" t="s">
        <v>90</v>
      </c>
      <c r="I20" s="134">
        <v>6</v>
      </c>
      <c r="J20" s="6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155" t="s">
        <v>90</v>
      </c>
      <c r="I21" s="134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0" t="s">
        <v>90</v>
      </c>
      <c r="I22" s="134">
        <v>1</v>
      </c>
      <c r="J22" s="6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0" t="s">
        <v>90</v>
      </c>
      <c r="I23" s="133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0" t="s">
        <v>90</v>
      </c>
      <c r="I24" s="133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155" t="s">
        <v>90</v>
      </c>
      <c r="I25" s="133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187" t="s">
        <v>90</v>
      </c>
      <c r="I26" s="133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155" t="s">
        <v>90</v>
      </c>
      <c r="I27" s="134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155" t="s">
        <v>90</v>
      </c>
      <c r="I28" s="134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187" t="s">
        <v>90</v>
      </c>
      <c r="I29" s="134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155" t="s">
        <v>90</v>
      </c>
      <c r="I30" s="133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187" t="s">
        <v>90</v>
      </c>
      <c r="I31" s="133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155" t="s">
        <v>90</v>
      </c>
      <c r="I32" s="133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155" t="s">
        <v>90</v>
      </c>
      <c r="I33" s="133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187" t="s">
        <v>90</v>
      </c>
      <c r="I34" s="133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187" t="s">
        <v>90</v>
      </c>
      <c r="I35" s="133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187" t="s">
        <v>90</v>
      </c>
      <c r="I36" s="133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0" bestFit="1" customWidth="1"/>
    <col min="10" max="10" width="8.140625" style="2" customWidth="1"/>
    <col min="11" max="11" width="6.85546875" style="12" customWidth="1"/>
  </cols>
  <sheetData>
    <row r="1" spans="1:11" s="21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42" t="s">
        <v>24</v>
      </c>
      <c r="G1" s="21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7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7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7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7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91" t="s">
        <v>5</v>
      </c>
      <c r="I8" s="137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91" t="s">
        <v>5</v>
      </c>
      <c r="I9" s="137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3" t="s">
        <v>5</v>
      </c>
      <c r="I13" s="19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7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19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7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7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393</v>
      </c>
      <c r="I25" s="19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37"/>
    </row>
    <row r="32" spans="1:11" x14ac:dyDescent="0.2">
      <c r="A32" s="1"/>
      <c r="C32" s="3"/>
      <c r="D32" s="13"/>
      <c r="E32" s="4"/>
      <c r="G32" s="13"/>
      <c r="I32" s="137"/>
    </row>
    <row r="33" spans="1:9" x14ac:dyDescent="0.2">
      <c r="A33" s="1"/>
      <c r="D33" s="13"/>
      <c r="E33" s="4"/>
      <c r="G33" s="13"/>
      <c r="I33" s="137"/>
    </row>
    <row r="34" spans="1:9" x14ac:dyDescent="0.2">
      <c r="A34" s="1"/>
      <c r="G34" s="13"/>
      <c r="I34" s="137"/>
    </row>
    <row r="35" spans="1:9" x14ac:dyDescent="0.2">
      <c r="A35" s="1"/>
      <c r="G35" s="13"/>
      <c r="I35" s="137"/>
    </row>
    <row r="36" spans="1:9" x14ac:dyDescent="0.2">
      <c r="A36" s="1"/>
      <c r="G36" s="13"/>
      <c r="I36" s="137"/>
    </row>
    <row r="37" spans="1:9" x14ac:dyDescent="0.2">
      <c r="A37" s="1"/>
      <c r="I37" s="137"/>
    </row>
    <row r="38" spans="1:9" x14ac:dyDescent="0.2">
      <c r="I38" s="137"/>
    </row>
    <row r="39" spans="1:9" x14ac:dyDescent="0.2">
      <c r="E39" s="4"/>
      <c r="I39" s="137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21" customFormat="1" x14ac:dyDescent="0.2">
      <c r="A1" s="29"/>
      <c r="B1" s="22" t="s">
        <v>0</v>
      </c>
      <c r="C1" s="306" t="s">
        <v>238</v>
      </c>
      <c r="D1" s="21" t="s">
        <v>2</v>
      </c>
      <c r="E1" s="23" t="s">
        <v>237</v>
      </c>
      <c r="F1" s="42" t="s">
        <v>24</v>
      </c>
      <c r="G1" s="24" t="s">
        <v>1</v>
      </c>
      <c r="H1" s="24" t="s">
        <v>3</v>
      </c>
      <c r="I1" s="22" t="s">
        <v>4</v>
      </c>
      <c r="J1" s="23" t="s">
        <v>238</v>
      </c>
      <c r="K1" s="42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91" t="s">
        <v>5</v>
      </c>
      <c r="I11" s="2">
        <v>0</v>
      </c>
      <c r="J11" s="12">
        <v>0</v>
      </c>
      <c r="K11" s="5">
        <v>2013</v>
      </c>
      <c r="L11" s="129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68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29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6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69"/>
    <col min="2" max="2" width="12.85546875" style="69" bestFit="1" customWidth="1"/>
    <col min="3" max="16384" width="11.42578125" style="70"/>
  </cols>
  <sheetData>
    <row r="1" spans="1:2" x14ac:dyDescent="0.2">
      <c r="A1" s="69" t="s">
        <v>84</v>
      </c>
      <c r="B1" s="69" t="s">
        <v>151</v>
      </c>
    </row>
    <row r="2" spans="1:2" x14ac:dyDescent="0.2">
      <c r="A2" s="69" t="s">
        <v>90</v>
      </c>
      <c r="B2" s="69">
        <f>COUNTIF(Auswärts!K:K,"Spessart")</f>
        <v>7</v>
      </c>
    </row>
    <row r="3" spans="1:2" x14ac:dyDescent="0.2">
      <c r="A3" s="69" t="s">
        <v>87</v>
      </c>
      <c r="B3" s="69">
        <f>COUNTIF(Auswärts!K:K,"Taunus")</f>
        <v>5</v>
      </c>
    </row>
    <row r="4" spans="1:2" x14ac:dyDescent="0.2">
      <c r="A4" s="69" t="s">
        <v>88</v>
      </c>
      <c r="B4" s="69">
        <f>COUNTIF(Auswärts!K:K,"Vogelsberg")</f>
        <v>4</v>
      </c>
    </row>
    <row r="5" spans="1:2" x14ac:dyDescent="0.2">
      <c r="A5" s="69" t="s">
        <v>89</v>
      </c>
      <c r="B5" s="69">
        <f>COUNTIF(Auswärts!K:K,"Odenwald")</f>
        <v>3</v>
      </c>
    </row>
    <row r="6" spans="1:2" x14ac:dyDescent="0.2">
      <c r="A6" s="69" t="s">
        <v>86</v>
      </c>
      <c r="B6" s="69">
        <f>COUNTIF(Auswärts!K:K,"Rhön")</f>
        <v>3</v>
      </c>
    </row>
    <row r="7" spans="1:2" x14ac:dyDescent="0.2">
      <c r="A7" s="69" t="s">
        <v>85</v>
      </c>
      <c r="B7" s="69">
        <f>COUNTIF(Auswärts!K:K,"Schwarzwald")</f>
        <v>1</v>
      </c>
    </row>
    <row r="8" spans="1:2" x14ac:dyDescent="0.2">
      <c r="A8" s="69" t="s">
        <v>414</v>
      </c>
      <c r="B8" s="69">
        <f>COUNTIF(Auswärts!K:K,"Alpen")</f>
        <v>1</v>
      </c>
    </row>
    <row r="9" spans="1:2" x14ac:dyDescent="0.2">
      <c r="A9" s="69" t="s">
        <v>326</v>
      </c>
      <c r="B9" s="69">
        <f>COUNTIF(Auswärts!K:K,"Schwäbische Alb")</f>
        <v>1</v>
      </c>
    </row>
    <row r="10" spans="1:2" x14ac:dyDescent="0.2">
      <c r="A10" s="69" t="s">
        <v>327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155" bestFit="1" customWidth="1"/>
    <col min="12" max="15" width="2.28515625" style="5" bestFit="1" customWidth="1"/>
    <col min="16" max="16" width="4.5703125" style="11" bestFit="1" customWidth="1"/>
  </cols>
  <sheetData>
    <row r="1" spans="1:16" s="21" customFormat="1" x14ac:dyDescent="0.2">
      <c r="A1" s="161"/>
      <c r="B1" s="22" t="s">
        <v>0</v>
      </c>
      <c r="C1" s="21" t="s">
        <v>238</v>
      </c>
      <c r="D1" s="21" t="s">
        <v>2</v>
      </c>
      <c r="E1" s="23" t="s">
        <v>237</v>
      </c>
      <c r="F1" s="42" t="s">
        <v>24</v>
      </c>
      <c r="G1" s="307" t="s">
        <v>1</v>
      </c>
      <c r="H1" s="24" t="s">
        <v>3</v>
      </c>
      <c r="I1" s="22" t="s">
        <v>4</v>
      </c>
      <c r="J1" s="42" t="s">
        <v>238</v>
      </c>
      <c r="K1" s="24" t="s">
        <v>84</v>
      </c>
      <c r="L1" s="136" t="s">
        <v>244</v>
      </c>
      <c r="M1" s="136" t="s">
        <v>245</v>
      </c>
      <c r="N1" s="136" t="s">
        <v>246</v>
      </c>
      <c r="O1" s="136" t="s">
        <v>247</v>
      </c>
      <c r="P1" s="24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5" t="s">
        <v>414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5" t="s">
        <v>85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187" t="s">
        <v>327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5" t="s">
        <v>86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5" t="s">
        <v>86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5" t="s">
        <v>86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5" t="s">
        <v>87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5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5" t="s">
        <v>87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7" t="s">
        <v>87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187" t="s">
        <v>326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7" t="s">
        <v>87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5" t="s">
        <v>88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5" t="s">
        <v>88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7" t="s">
        <v>88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7" t="s">
        <v>88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7" t="s">
        <v>89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7" t="s">
        <v>89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5" t="s">
        <v>90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5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5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7" t="s">
        <v>90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5" t="s">
        <v>90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7" t="s">
        <v>90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5" t="s">
        <v>90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5" t="s">
        <v>89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187"/>
      <c r="L28" s="89"/>
      <c r="M28" s="89"/>
      <c r="N28" s="89"/>
      <c r="O28" s="89"/>
    </row>
    <row r="29" spans="1:16" x14ac:dyDescent="0.2">
      <c r="C29" s="14"/>
      <c r="D29" s="13"/>
      <c r="E29" s="4"/>
      <c r="G29" s="13"/>
      <c r="H29" s="6"/>
      <c r="K29" s="187"/>
      <c r="L29" s="89"/>
      <c r="M29" s="89"/>
      <c r="N29" s="89"/>
      <c r="O29" s="89"/>
    </row>
    <row r="30" spans="1:16" x14ac:dyDescent="0.2">
      <c r="C30" s="14"/>
      <c r="D30" s="13"/>
      <c r="G30" s="13"/>
      <c r="H30" s="6"/>
      <c r="K30" s="187"/>
      <c r="L30" s="89"/>
      <c r="M30" s="89"/>
      <c r="N30" s="89"/>
      <c r="O30" s="89"/>
    </row>
    <row r="31" spans="1:16" x14ac:dyDescent="0.2">
      <c r="C31" s="14"/>
      <c r="D31" s="13"/>
      <c r="G31" s="13"/>
      <c r="H31" s="6"/>
      <c r="K31" s="187"/>
      <c r="L31" s="89"/>
      <c r="M31" s="89"/>
      <c r="N31" s="89"/>
      <c r="O31" s="89"/>
    </row>
    <row r="32" spans="1:16" x14ac:dyDescent="0.2">
      <c r="C32" s="14"/>
      <c r="D32" s="13"/>
      <c r="E32" s="4"/>
      <c r="G32" s="13"/>
      <c r="H32" s="6"/>
      <c r="K32" s="187"/>
      <c r="L32" s="89"/>
      <c r="M32" s="89"/>
      <c r="N32" s="89"/>
      <c r="O32" s="89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187"/>
      <c r="L34" s="89"/>
      <c r="M34" s="89"/>
      <c r="N34" s="89"/>
      <c r="O34" s="89"/>
    </row>
    <row r="35" spans="4:15" x14ac:dyDescent="0.2">
      <c r="D35" s="13"/>
      <c r="G35" s="13"/>
      <c r="H35" s="6"/>
      <c r="L35" s="89"/>
      <c r="M35" s="89"/>
      <c r="N35" s="89"/>
      <c r="O35" s="89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13" customWidth="1"/>
    <col min="2" max="2" width="13.42578125" customWidth="1"/>
    <col min="3" max="3" width="10.85546875" style="138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155" bestFit="1" customWidth="1"/>
    <col min="14" max="14" width="4.5703125" style="41" bestFit="1" customWidth="1"/>
    <col min="15" max="15" width="5.7109375" bestFit="1" customWidth="1"/>
    <col min="16" max="16" width="7.28515625" style="11" bestFit="1" customWidth="1"/>
    <col min="17" max="17" width="5.5703125" style="186" hidden="1" customWidth="1"/>
    <col min="18" max="18" width="6.140625" style="186" hidden="1" customWidth="1"/>
    <col min="19" max="19" width="6.85546875" style="186" hidden="1" customWidth="1"/>
    <col min="20" max="20" width="5.140625" style="186" hidden="1" customWidth="1"/>
    <col min="21" max="21" width="5" style="189" hidden="1" customWidth="1"/>
    <col min="22" max="22" width="5.7109375" style="190" hidden="1" customWidth="1"/>
  </cols>
  <sheetData>
    <row r="1" spans="1:25" s="1" customFormat="1" ht="15" x14ac:dyDescent="0.25">
      <c r="A1" s="309" t="s">
        <v>348</v>
      </c>
      <c r="B1" s="308" t="s">
        <v>321</v>
      </c>
      <c r="C1" s="182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24" t="s">
        <v>382</v>
      </c>
      <c r="I1" s="24" t="s">
        <v>383</v>
      </c>
      <c r="J1" s="24" t="s">
        <v>384</v>
      </c>
      <c r="K1" s="183" t="s">
        <v>405</v>
      </c>
      <c r="L1" s="184" t="s">
        <v>404</v>
      </c>
      <c r="M1" s="24" t="s">
        <v>84</v>
      </c>
      <c r="N1" s="24" t="s">
        <v>411</v>
      </c>
      <c r="O1" s="1" t="s">
        <v>221</v>
      </c>
      <c r="P1" s="185" t="s">
        <v>409</v>
      </c>
      <c r="Q1" s="310" t="s">
        <v>410</v>
      </c>
      <c r="R1" s="310" t="s">
        <v>417</v>
      </c>
      <c r="S1" s="310" t="s">
        <v>407</v>
      </c>
      <c r="T1" s="310" t="s">
        <v>408</v>
      </c>
      <c r="U1" s="311" t="s">
        <v>416</v>
      </c>
      <c r="V1" s="312" t="s">
        <v>427</v>
      </c>
      <c r="X1" s="313">
        <v>80</v>
      </c>
      <c r="Y1" s="1" t="s">
        <v>237</v>
      </c>
    </row>
    <row r="2" spans="1:25" x14ac:dyDescent="0.2">
      <c r="A2" s="1" t="s">
        <v>359</v>
      </c>
      <c r="B2" s="12">
        <v>35</v>
      </c>
      <c r="C2" s="138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5" t="s">
        <v>90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6">
        <f t="shared" ref="Q2:Q28" si="6">RANK(C2,(C:C))</f>
        <v>27</v>
      </c>
      <c r="R2" s="186">
        <f t="shared" ref="R2:R28" si="7">COUNTA(B:B)-RANK(E2,(E:E))</f>
        <v>19</v>
      </c>
      <c r="S2" s="186">
        <f t="shared" ref="S2:S28" si="8">COUNTA(B:B)-RANK(I2,(I:I))</f>
        <v>1</v>
      </c>
      <c r="T2" s="186">
        <f t="shared" ref="T2:T28" si="9">COUNTA(B:B)-RANK(J2,(J:J))</f>
        <v>9</v>
      </c>
      <c r="U2" s="189">
        <f t="shared" ref="U2:U28" si="10">((MAX(C:C)-C2)+1)^2</f>
        <v>1.5742407226562498</v>
      </c>
      <c r="V2" s="190">
        <v>1</v>
      </c>
    </row>
    <row r="3" spans="1:25" x14ac:dyDescent="0.2">
      <c r="A3" s="1" t="s">
        <v>353</v>
      </c>
      <c r="B3" s="12">
        <v>46</v>
      </c>
      <c r="C3" s="138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5" t="s">
        <v>89</v>
      </c>
      <c r="N3" s="40"/>
      <c r="O3">
        <f t="shared" si="4"/>
        <v>5</v>
      </c>
      <c r="P3" s="11">
        <f t="shared" si="5"/>
        <v>21.838556857638892</v>
      </c>
      <c r="Q3" s="186">
        <f t="shared" si="6"/>
        <v>26</v>
      </c>
      <c r="R3" s="186">
        <f t="shared" si="7"/>
        <v>21</v>
      </c>
      <c r="S3" s="186">
        <f t="shared" si="8"/>
        <v>2</v>
      </c>
      <c r="T3" s="186">
        <f t="shared" si="9"/>
        <v>7</v>
      </c>
      <c r="U3" s="189">
        <f t="shared" si="10"/>
        <v>1.559896918402778</v>
      </c>
      <c r="V3" s="190">
        <v>1</v>
      </c>
    </row>
    <row r="4" spans="1:25" x14ac:dyDescent="0.2">
      <c r="A4" s="1" t="s">
        <v>352</v>
      </c>
      <c r="B4" s="12">
        <v>91</v>
      </c>
      <c r="C4" s="138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5" t="s">
        <v>87</v>
      </c>
      <c r="N4" s="40"/>
      <c r="O4">
        <f t="shared" si="4"/>
        <v>6</v>
      </c>
      <c r="P4" s="11">
        <f t="shared" si="5"/>
        <v>20.688690585666233</v>
      </c>
      <c r="Q4" s="186">
        <f t="shared" si="6"/>
        <v>25</v>
      </c>
      <c r="R4" s="186">
        <f t="shared" si="7"/>
        <v>7</v>
      </c>
      <c r="S4" s="186">
        <f t="shared" si="8"/>
        <v>12</v>
      </c>
      <c r="T4" s="186">
        <f t="shared" si="9"/>
        <v>14</v>
      </c>
      <c r="U4" s="189">
        <f t="shared" si="10"/>
        <v>1.501901312934028</v>
      </c>
      <c r="V4" s="190">
        <v>0.95</v>
      </c>
    </row>
    <row r="5" spans="1:25" x14ac:dyDescent="0.2">
      <c r="A5" s="1" t="s">
        <v>354</v>
      </c>
      <c r="B5" s="12">
        <v>98.7</v>
      </c>
      <c r="C5" s="138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5" t="s">
        <v>88</v>
      </c>
      <c r="N5" s="7"/>
      <c r="O5">
        <f t="shared" si="4"/>
        <v>3</v>
      </c>
      <c r="P5" s="11">
        <f t="shared" si="5"/>
        <v>22.679733009982634</v>
      </c>
      <c r="Q5" s="186">
        <f t="shared" si="6"/>
        <v>24</v>
      </c>
      <c r="R5" s="186">
        <f t="shared" si="7"/>
        <v>18</v>
      </c>
      <c r="S5" s="186">
        <f t="shared" si="8"/>
        <v>6</v>
      </c>
      <c r="T5" s="186">
        <f t="shared" si="9"/>
        <v>16</v>
      </c>
      <c r="U5" s="189">
        <f t="shared" si="10"/>
        <v>1.4920876980251734</v>
      </c>
      <c r="V5" s="190">
        <v>0.95</v>
      </c>
    </row>
    <row r="6" spans="1:25" x14ac:dyDescent="0.2">
      <c r="A6" s="1" t="s">
        <v>351</v>
      </c>
      <c r="B6" s="12">
        <v>144</v>
      </c>
      <c r="C6" s="138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5" t="s">
        <v>86</v>
      </c>
      <c r="N6" s="7"/>
      <c r="O6">
        <f t="shared" si="4"/>
        <v>7</v>
      </c>
      <c r="P6" s="11">
        <f t="shared" si="5"/>
        <v>19.767184787326382</v>
      </c>
      <c r="Q6" s="186">
        <f t="shared" si="6"/>
        <v>23</v>
      </c>
      <c r="R6" s="186">
        <f t="shared" si="7"/>
        <v>9</v>
      </c>
      <c r="S6" s="186">
        <f t="shared" si="8"/>
        <v>13</v>
      </c>
      <c r="T6" s="186">
        <f t="shared" si="9"/>
        <v>13</v>
      </c>
      <c r="U6" s="189">
        <f t="shared" si="10"/>
        <v>1.4350043402777775</v>
      </c>
      <c r="V6" s="190">
        <v>0.95</v>
      </c>
    </row>
    <row r="7" spans="1:25" x14ac:dyDescent="0.2">
      <c r="A7" s="1" t="s">
        <v>350</v>
      </c>
      <c r="B7" s="12">
        <v>151</v>
      </c>
      <c r="C7" s="138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5" t="s">
        <v>358</v>
      </c>
      <c r="N7" s="40"/>
      <c r="O7">
        <f t="shared" si="4"/>
        <v>21</v>
      </c>
      <c r="P7" s="11">
        <f t="shared" si="5"/>
        <v>14.619398939344618</v>
      </c>
      <c r="Q7" s="186">
        <f t="shared" si="6"/>
        <v>22</v>
      </c>
      <c r="R7" s="186">
        <f t="shared" si="7"/>
        <v>5</v>
      </c>
      <c r="S7" s="186">
        <f t="shared" si="8"/>
        <v>4</v>
      </c>
      <c r="T7" s="186">
        <f t="shared" si="9"/>
        <v>10</v>
      </c>
      <c r="U7" s="189">
        <f t="shared" si="10"/>
        <v>1.4262828233506946</v>
      </c>
      <c r="V7" s="190">
        <v>1</v>
      </c>
    </row>
    <row r="8" spans="1:25" x14ac:dyDescent="0.2">
      <c r="A8" s="1" t="s">
        <v>349</v>
      </c>
      <c r="B8" s="12">
        <v>188</v>
      </c>
      <c r="C8" s="138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5" t="s">
        <v>358</v>
      </c>
      <c r="N8" s="40"/>
      <c r="O8">
        <f t="shared" si="4"/>
        <v>24</v>
      </c>
      <c r="P8" s="11">
        <f t="shared" si="5"/>
        <v>11.390156250000002</v>
      </c>
      <c r="Q8" s="186">
        <f t="shared" si="6"/>
        <v>20</v>
      </c>
      <c r="R8" s="186">
        <f t="shared" si="7"/>
        <v>2</v>
      </c>
      <c r="S8" s="186">
        <f t="shared" si="8"/>
        <v>3</v>
      </c>
      <c r="T8" s="186">
        <f t="shared" si="9"/>
        <v>8</v>
      </c>
      <c r="U8" s="189">
        <f t="shared" si="10"/>
        <v>1.3806250000000002</v>
      </c>
      <c r="V8" s="190">
        <v>1</v>
      </c>
    </row>
    <row r="9" spans="1:25" x14ac:dyDescent="0.2">
      <c r="A9" s="1" t="s">
        <v>326</v>
      </c>
      <c r="B9" s="12">
        <v>185</v>
      </c>
      <c r="C9" s="138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5" t="s">
        <v>326</v>
      </c>
      <c r="N9" s="40"/>
      <c r="O9">
        <f t="shared" si="4"/>
        <v>20</v>
      </c>
      <c r="P9" s="11">
        <f t="shared" si="5"/>
        <v>15.57336730957031</v>
      </c>
      <c r="Q9" s="186">
        <f t="shared" si="6"/>
        <v>21</v>
      </c>
      <c r="R9" s="186">
        <f t="shared" si="7"/>
        <v>4</v>
      </c>
      <c r="S9" s="186">
        <f t="shared" si="8"/>
        <v>8</v>
      </c>
      <c r="T9" s="186">
        <f t="shared" si="9"/>
        <v>12</v>
      </c>
      <c r="U9" s="189">
        <f t="shared" si="10"/>
        <v>1.3842993164062498</v>
      </c>
      <c r="V9" s="190">
        <v>1</v>
      </c>
    </row>
    <row r="10" spans="1:25" x14ac:dyDescent="0.2">
      <c r="A10" s="1" t="s">
        <v>403</v>
      </c>
      <c r="B10" s="12">
        <v>194</v>
      </c>
      <c r="C10" s="138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5" t="s">
        <v>403</v>
      </c>
      <c r="N10" s="40"/>
      <c r="O10">
        <f t="shared" si="4"/>
        <v>27</v>
      </c>
      <c r="P10" s="11">
        <f t="shared" si="5"/>
        <v>9.13238525390625</v>
      </c>
      <c r="Q10" s="186">
        <f t="shared" si="6"/>
        <v>19</v>
      </c>
      <c r="R10" s="186">
        <f t="shared" si="7"/>
        <v>3</v>
      </c>
      <c r="S10" s="186">
        <f t="shared" si="8"/>
        <v>5</v>
      </c>
      <c r="T10" s="186">
        <f t="shared" si="9"/>
        <v>1</v>
      </c>
      <c r="U10" s="189">
        <f t="shared" si="10"/>
        <v>1.373291015625</v>
      </c>
      <c r="V10" s="190">
        <v>0.95</v>
      </c>
    </row>
    <row r="11" spans="1:25" x14ac:dyDescent="0.2">
      <c r="A11" s="1" t="s">
        <v>339</v>
      </c>
      <c r="B11" s="12">
        <v>249</v>
      </c>
      <c r="C11" s="138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5" t="s">
        <v>85</v>
      </c>
      <c r="N11" s="40"/>
      <c r="O11">
        <f t="shared" si="4"/>
        <v>1</v>
      </c>
      <c r="P11" s="11">
        <f t="shared" si="5"/>
        <v>25.159228854709205</v>
      </c>
      <c r="Q11" s="186">
        <f t="shared" si="6"/>
        <v>13</v>
      </c>
      <c r="R11" s="186">
        <f t="shared" si="7"/>
        <v>22</v>
      </c>
      <c r="S11" s="186">
        <f t="shared" si="8"/>
        <v>18</v>
      </c>
      <c r="T11" s="186">
        <f t="shared" si="9"/>
        <v>24</v>
      </c>
      <c r="U11" s="189">
        <f t="shared" si="10"/>
        <v>1.3069729275173614</v>
      </c>
      <c r="V11" s="190">
        <v>1</v>
      </c>
    </row>
    <row r="12" spans="1:25" x14ac:dyDescent="0.2">
      <c r="A12" s="1" t="s">
        <v>335</v>
      </c>
      <c r="B12" s="12">
        <v>198</v>
      </c>
      <c r="C12" s="138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5" t="s">
        <v>335</v>
      </c>
      <c r="N12" s="40"/>
      <c r="O12">
        <f t="shared" si="4"/>
        <v>14</v>
      </c>
      <c r="P12" s="11">
        <f t="shared" si="5"/>
        <v>16.934105224609375</v>
      </c>
      <c r="Q12" s="186">
        <f t="shared" si="6"/>
        <v>18</v>
      </c>
      <c r="R12" s="186">
        <f t="shared" si="7"/>
        <v>20</v>
      </c>
      <c r="S12" s="186">
        <f t="shared" si="8"/>
        <v>11</v>
      </c>
      <c r="T12" s="186">
        <f t="shared" si="9"/>
        <v>6</v>
      </c>
      <c r="U12" s="189">
        <f t="shared" si="10"/>
        <v>1.3684125434027776</v>
      </c>
      <c r="V12" s="190">
        <v>0.9</v>
      </c>
    </row>
    <row r="13" spans="1:25" x14ac:dyDescent="0.2">
      <c r="A13" s="1" t="s">
        <v>406</v>
      </c>
      <c r="B13" s="12">
        <v>212</v>
      </c>
      <c r="C13" s="138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5" t="s">
        <v>406</v>
      </c>
      <c r="N13" s="40"/>
      <c r="O13">
        <f t="shared" si="4"/>
        <v>23</v>
      </c>
      <c r="P13" s="11">
        <f t="shared" si="5"/>
        <v>12.5005078125</v>
      </c>
      <c r="Q13" s="186">
        <f t="shared" si="6"/>
        <v>17</v>
      </c>
      <c r="R13" s="186">
        <f t="shared" si="7"/>
        <v>8</v>
      </c>
      <c r="S13" s="186">
        <f t="shared" si="8"/>
        <v>9</v>
      </c>
      <c r="T13" s="186">
        <f t="shared" si="9"/>
        <v>3</v>
      </c>
      <c r="U13" s="189">
        <f t="shared" si="10"/>
        <v>1.3514062500000001</v>
      </c>
      <c r="V13" s="190">
        <v>1</v>
      </c>
    </row>
    <row r="14" spans="1:25" x14ac:dyDescent="0.2">
      <c r="A14" s="1" t="s">
        <v>327</v>
      </c>
      <c r="B14" s="12">
        <v>223</v>
      </c>
      <c r="C14" s="138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5" t="s">
        <v>327</v>
      </c>
      <c r="N14" s="40"/>
      <c r="O14">
        <f t="shared" si="4"/>
        <v>19</v>
      </c>
      <c r="P14" s="11">
        <f t="shared" si="5"/>
        <v>15.722895439995659</v>
      </c>
      <c r="Q14" s="186">
        <f t="shared" si="6"/>
        <v>16</v>
      </c>
      <c r="R14" s="186">
        <f t="shared" si="7"/>
        <v>13</v>
      </c>
      <c r="S14" s="186">
        <f t="shared" si="8"/>
        <v>14</v>
      </c>
      <c r="T14" s="186">
        <f t="shared" si="9"/>
        <v>4</v>
      </c>
      <c r="U14" s="189">
        <f t="shared" si="10"/>
        <v>1.3381187608506944</v>
      </c>
      <c r="V14" s="190">
        <v>1</v>
      </c>
    </row>
    <row r="15" spans="1:25" x14ac:dyDescent="0.2">
      <c r="A15" s="1" t="s">
        <v>330</v>
      </c>
      <c r="B15" s="12">
        <v>244</v>
      </c>
      <c r="C15" s="138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5" t="s">
        <v>330</v>
      </c>
      <c r="N15" s="40"/>
      <c r="O15">
        <f t="shared" si="4"/>
        <v>25</v>
      </c>
      <c r="P15" s="11">
        <f t="shared" si="5"/>
        <v>11.2255859375</v>
      </c>
      <c r="Q15" s="186">
        <f t="shared" si="6"/>
        <v>15</v>
      </c>
      <c r="R15" s="186">
        <f t="shared" si="7"/>
        <v>1</v>
      </c>
      <c r="S15" s="186">
        <f t="shared" si="8"/>
        <v>15</v>
      </c>
      <c r="T15" s="186">
        <f t="shared" si="9"/>
        <v>5</v>
      </c>
      <c r="U15" s="189">
        <f t="shared" si="10"/>
        <v>1.3129340277777777</v>
      </c>
      <c r="V15" s="190">
        <v>0.95</v>
      </c>
    </row>
    <row r="16" spans="1:25" x14ac:dyDescent="0.2">
      <c r="A16" s="1" t="s">
        <v>336</v>
      </c>
      <c r="B16" s="12">
        <v>245</v>
      </c>
      <c r="C16" s="138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5" t="s">
        <v>336</v>
      </c>
      <c r="N16" s="40"/>
      <c r="O16">
        <f t="shared" si="4"/>
        <v>26</v>
      </c>
      <c r="P16" s="11">
        <f t="shared" si="5"/>
        <v>10.280767913818359</v>
      </c>
      <c r="Q16" s="186">
        <f t="shared" si="6"/>
        <v>14</v>
      </c>
      <c r="R16" s="186">
        <f t="shared" si="7"/>
        <v>10</v>
      </c>
      <c r="S16" s="186">
        <f t="shared" si="8"/>
        <v>7</v>
      </c>
      <c r="T16" s="186">
        <f t="shared" si="9"/>
        <v>2</v>
      </c>
      <c r="U16" s="189">
        <f t="shared" si="10"/>
        <v>1.3117407226562499</v>
      </c>
      <c r="V16" s="190">
        <v>0.95</v>
      </c>
    </row>
    <row r="17" spans="1:22" x14ac:dyDescent="0.2">
      <c r="A17" s="1" t="s">
        <v>340</v>
      </c>
      <c r="B17" s="12">
        <v>296</v>
      </c>
      <c r="C17" s="138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5" t="s">
        <v>85</v>
      </c>
      <c r="N17" s="40"/>
      <c r="O17">
        <f t="shared" si="4"/>
        <v>8</v>
      </c>
      <c r="P17" s="11">
        <f t="shared" si="5"/>
        <v>19.321599121093747</v>
      </c>
      <c r="Q17" s="186">
        <f t="shared" si="6"/>
        <v>12</v>
      </c>
      <c r="R17" s="186">
        <f t="shared" si="7"/>
        <v>14</v>
      </c>
      <c r="S17" s="186">
        <f t="shared" si="8"/>
        <v>22</v>
      </c>
      <c r="T17" s="186">
        <f t="shared" si="9"/>
        <v>17</v>
      </c>
      <c r="U17" s="189">
        <f t="shared" si="10"/>
        <v>1.2516015624999999</v>
      </c>
      <c r="V17" s="190">
        <v>0.95</v>
      </c>
    </row>
    <row r="18" spans="1:22" x14ac:dyDescent="0.2">
      <c r="A18" s="1" t="s">
        <v>338</v>
      </c>
      <c r="B18" s="12">
        <v>337</v>
      </c>
      <c r="C18" s="138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5" t="s">
        <v>85</v>
      </c>
      <c r="N18" s="40"/>
      <c r="O18">
        <f t="shared" si="4"/>
        <v>11</v>
      </c>
      <c r="P18" s="11">
        <f t="shared" si="5"/>
        <v>17.341597656249998</v>
      </c>
      <c r="Q18" s="186">
        <f t="shared" si="6"/>
        <v>10</v>
      </c>
      <c r="R18" s="186">
        <f t="shared" si="7"/>
        <v>13</v>
      </c>
      <c r="S18" s="186">
        <f t="shared" si="8"/>
        <v>19</v>
      </c>
      <c r="T18" s="186">
        <f t="shared" si="9"/>
        <v>22</v>
      </c>
      <c r="U18" s="189">
        <f t="shared" si="10"/>
        <v>1.2042776150173611</v>
      </c>
      <c r="V18" s="190">
        <v>0.9</v>
      </c>
    </row>
    <row r="19" spans="1:22" x14ac:dyDescent="0.2">
      <c r="A19" s="1" t="s">
        <v>325</v>
      </c>
      <c r="B19" s="12">
        <v>325</v>
      </c>
      <c r="C19" s="138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5" t="s">
        <v>414</v>
      </c>
      <c r="N19" s="40"/>
      <c r="O19">
        <f t="shared" si="4"/>
        <v>9</v>
      </c>
      <c r="P19" s="11">
        <f t="shared" si="5"/>
        <v>19.184037475585932</v>
      </c>
      <c r="Q19" s="186">
        <f t="shared" si="6"/>
        <v>11</v>
      </c>
      <c r="R19" s="186">
        <f t="shared" si="7"/>
        <v>25</v>
      </c>
      <c r="S19" s="186">
        <f t="shared" si="8"/>
        <v>16</v>
      </c>
      <c r="T19" s="186">
        <f t="shared" si="9"/>
        <v>11</v>
      </c>
      <c r="U19" s="189">
        <f t="shared" si="10"/>
        <v>1.2180341254340274</v>
      </c>
      <c r="V19" s="190">
        <v>1</v>
      </c>
    </row>
    <row r="20" spans="1:22" x14ac:dyDescent="0.2">
      <c r="A20" s="1" t="s">
        <v>419</v>
      </c>
      <c r="B20" s="12">
        <v>346</v>
      </c>
      <c r="C20" s="138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5" t="s">
        <v>324</v>
      </c>
      <c r="N20" s="40"/>
      <c r="O20">
        <f t="shared" si="4"/>
        <v>12</v>
      </c>
      <c r="P20" s="11">
        <f t="shared" si="5"/>
        <v>17.313166775173613</v>
      </c>
      <c r="Q20" s="186">
        <f t="shared" si="6"/>
        <v>9</v>
      </c>
      <c r="R20" s="186">
        <f t="shared" si="7"/>
        <v>24</v>
      </c>
      <c r="S20" s="186">
        <f t="shared" si="8"/>
        <v>10</v>
      </c>
      <c r="T20" s="186">
        <f t="shared" si="9"/>
        <v>15</v>
      </c>
      <c r="U20" s="189">
        <f t="shared" si="10"/>
        <v>1.1940115017361113</v>
      </c>
      <c r="V20" s="190">
        <v>1</v>
      </c>
    </row>
    <row r="21" spans="1:22" x14ac:dyDescent="0.2">
      <c r="A21" s="1" t="s">
        <v>337</v>
      </c>
      <c r="B21" s="12">
        <v>350</v>
      </c>
      <c r="C21" s="138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5" t="s">
        <v>85</v>
      </c>
      <c r="N21" s="40"/>
      <c r="O21">
        <f t="shared" si="4"/>
        <v>2</v>
      </c>
      <c r="P21" s="11">
        <f t="shared" si="5"/>
        <v>23.789257812500001</v>
      </c>
      <c r="Q21" s="186">
        <f t="shared" si="6"/>
        <v>8</v>
      </c>
      <c r="R21" s="186">
        <f t="shared" si="7"/>
        <v>27</v>
      </c>
      <c r="S21" s="186">
        <f t="shared" si="8"/>
        <v>20</v>
      </c>
      <c r="T21" s="186">
        <f t="shared" si="9"/>
        <v>25</v>
      </c>
      <c r="U21" s="189">
        <f t="shared" si="10"/>
        <v>1.189462890625</v>
      </c>
      <c r="V21" s="190">
        <v>1</v>
      </c>
    </row>
    <row r="22" spans="1:22" x14ac:dyDescent="0.2">
      <c r="A22" s="1" t="s">
        <v>571</v>
      </c>
      <c r="B22" s="12">
        <v>370</v>
      </c>
      <c r="C22" s="138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5" t="s">
        <v>414</v>
      </c>
      <c r="N22" s="40"/>
      <c r="O22">
        <f t="shared" si="4"/>
        <v>16</v>
      </c>
      <c r="P22" s="11">
        <f t="shared" si="5"/>
        <v>16.335900607638884</v>
      </c>
      <c r="Q22" s="186">
        <f t="shared" si="6"/>
        <v>7</v>
      </c>
      <c r="R22" s="186">
        <f t="shared" si="7"/>
        <v>6</v>
      </c>
      <c r="S22" s="186">
        <f t="shared" si="8"/>
        <v>23</v>
      </c>
      <c r="T22" s="186">
        <f t="shared" si="9"/>
        <v>20</v>
      </c>
      <c r="U22" s="189">
        <f t="shared" si="10"/>
        <v>1.1668500434027775</v>
      </c>
      <c r="V22" s="190">
        <v>1</v>
      </c>
    </row>
    <row r="23" spans="1:22" x14ac:dyDescent="0.2">
      <c r="A23" s="1" t="s">
        <v>322</v>
      </c>
      <c r="B23" s="12">
        <v>382</v>
      </c>
      <c r="C23" s="138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5" t="s">
        <v>322</v>
      </c>
      <c r="N23" s="40"/>
      <c r="O23">
        <f t="shared" si="4"/>
        <v>10</v>
      </c>
      <c r="P23" s="11">
        <f t="shared" si="5"/>
        <v>17.805404120551213</v>
      </c>
      <c r="Q23" s="186">
        <f t="shared" si="6"/>
        <v>6</v>
      </c>
      <c r="R23" s="186">
        <f t="shared" si="7"/>
        <v>17</v>
      </c>
      <c r="S23" s="186">
        <f t="shared" si="8"/>
        <v>21</v>
      </c>
      <c r="T23" s="186">
        <f t="shared" si="9"/>
        <v>21</v>
      </c>
      <c r="U23" s="189">
        <f t="shared" si="10"/>
        <v>1.1533865017361111</v>
      </c>
      <c r="V23" s="190">
        <v>0.95</v>
      </c>
    </row>
    <row r="24" spans="1:22" x14ac:dyDescent="0.2">
      <c r="A24" s="1" t="s">
        <v>415</v>
      </c>
      <c r="B24" s="12">
        <v>404</v>
      </c>
      <c r="C24" s="138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7" t="s">
        <v>324</v>
      </c>
      <c r="N24" s="40"/>
      <c r="O24">
        <f t="shared" si="4"/>
        <v>22</v>
      </c>
      <c r="P24" s="11">
        <f t="shared" si="5"/>
        <v>14.22421875</v>
      </c>
      <c r="Q24" s="186">
        <f t="shared" si="6"/>
        <v>4</v>
      </c>
      <c r="R24" s="186">
        <f t="shared" si="7"/>
        <v>23</v>
      </c>
      <c r="S24" s="186">
        <f t="shared" si="8"/>
        <v>17</v>
      </c>
      <c r="T24" s="186">
        <f t="shared" si="9"/>
        <v>19</v>
      </c>
      <c r="U24" s="189">
        <f t="shared" si="10"/>
        <v>1.12890625</v>
      </c>
      <c r="V24" s="190">
        <v>0.8</v>
      </c>
    </row>
    <row r="25" spans="1:22" x14ac:dyDescent="0.2">
      <c r="A25" s="1" t="s">
        <v>425</v>
      </c>
      <c r="B25" s="12">
        <v>404</v>
      </c>
      <c r="C25" s="138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7" t="s">
        <v>414</v>
      </c>
      <c r="N25" s="40"/>
      <c r="O25">
        <f t="shared" si="4"/>
        <v>17</v>
      </c>
      <c r="P25" s="11">
        <f t="shared" si="5"/>
        <v>16.0869140625</v>
      </c>
      <c r="Q25" s="186">
        <f t="shared" si="6"/>
        <v>4</v>
      </c>
      <c r="R25" s="186">
        <f t="shared" si="7"/>
        <v>11</v>
      </c>
      <c r="S25" s="186">
        <f t="shared" si="8"/>
        <v>24</v>
      </c>
      <c r="T25" s="186">
        <f t="shared" si="9"/>
        <v>18</v>
      </c>
      <c r="U25" s="189">
        <f t="shared" si="10"/>
        <v>1.12890625</v>
      </c>
      <c r="V25" s="190">
        <v>1</v>
      </c>
    </row>
    <row r="26" spans="1:22" x14ac:dyDescent="0.2">
      <c r="A26" s="1" t="s">
        <v>494</v>
      </c>
      <c r="B26" s="12">
        <v>460</v>
      </c>
      <c r="C26" s="138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5" t="s">
        <v>414</v>
      </c>
      <c r="N26" s="40"/>
      <c r="O26">
        <f t="shared" si="4"/>
        <v>18</v>
      </c>
      <c r="P26" s="11">
        <f t="shared" si="5"/>
        <v>15.856499999999997</v>
      </c>
      <c r="Q26" s="186">
        <f t="shared" si="6"/>
        <v>3</v>
      </c>
      <c r="R26" s="186">
        <f t="shared" si="7"/>
        <v>15</v>
      </c>
      <c r="S26" s="186">
        <f t="shared" si="8"/>
        <v>25</v>
      </c>
      <c r="T26" s="186">
        <f t="shared" si="9"/>
        <v>23</v>
      </c>
      <c r="U26" s="189">
        <f t="shared" si="10"/>
        <v>1.0677777777777775</v>
      </c>
      <c r="V26" s="190">
        <v>0.9</v>
      </c>
    </row>
    <row r="27" spans="1:22" x14ac:dyDescent="0.2">
      <c r="A27" s="1" t="s">
        <v>413</v>
      </c>
      <c r="B27" s="12">
        <v>478</v>
      </c>
      <c r="C27" s="138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5" t="s">
        <v>414</v>
      </c>
      <c r="N27" s="40"/>
      <c r="O27">
        <f t="shared" si="4"/>
        <v>15</v>
      </c>
      <c r="P27" s="11">
        <f t="shared" si="5"/>
        <v>16.513728027343749</v>
      </c>
      <c r="Q27" s="186">
        <f t="shared" si="6"/>
        <v>2</v>
      </c>
      <c r="R27" s="186">
        <f t="shared" si="7"/>
        <v>16</v>
      </c>
      <c r="S27" s="186">
        <f t="shared" si="8"/>
        <v>26</v>
      </c>
      <c r="T27" s="186">
        <f t="shared" si="9"/>
        <v>26</v>
      </c>
      <c r="U27" s="189">
        <f t="shared" si="10"/>
        <v>1.0484906684027777</v>
      </c>
      <c r="V27" s="190">
        <v>0.9</v>
      </c>
    </row>
    <row r="28" spans="1:22" x14ac:dyDescent="0.2">
      <c r="A28" s="1" t="s">
        <v>412</v>
      </c>
      <c r="B28" s="12">
        <v>524</v>
      </c>
      <c r="C28" s="138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5" t="s">
        <v>414</v>
      </c>
      <c r="N28" s="40"/>
      <c r="O28">
        <f t="shared" si="4"/>
        <v>13</v>
      </c>
      <c r="P28" s="11">
        <f t="shared" si="5"/>
        <v>17.212499999999999</v>
      </c>
      <c r="Q28" s="186">
        <f t="shared" si="6"/>
        <v>1</v>
      </c>
      <c r="R28" s="186">
        <f t="shared" si="7"/>
        <v>26</v>
      </c>
      <c r="S28" s="186">
        <f t="shared" si="8"/>
        <v>27</v>
      </c>
      <c r="T28" s="186">
        <f t="shared" si="9"/>
        <v>27</v>
      </c>
      <c r="U28" s="189">
        <f t="shared" si="10"/>
        <v>1</v>
      </c>
      <c r="V28" s="190">
        <v>0.85</v>
      </c>
    </row>
    <row r="29" spans="1:22" x14ac:dyDescent="0.2">
      <c r="A29" s="1"/>
      <c r="H29" s="13"/>
      <c r="J29" s="13"/>
      <c r="M29" s="187"/>
      <c r="N29" s="40"/>
    </row>
    <row r="30" spans="1:22" x14ac:dyDescent="0.2">
      <c r="A30" s="1"/>
      <c r="H30" s="13"/>
      <c r="J30" s="13"/>
      <c r="M30" s="187"/>
      <c r="N30" s="40"/>
    </row>
    <row r="31" spans="1:22" x14ac:dyDescent="0.2">
      <c r="A31" s="1"/>
      <c r="H31" s="13"/>
      <c r="J31" s="13"/>
      <c r="M31" s="187"/>
      <c r="N31" s="40"/>
    </row>
    <row r="32" spans="1:22" x14ac:dyDescent="0.2">
      <c r="A32" s="1"/>
      <c r="H32" s="13"/>
      <c r="J32" s="13"/>
      <c r="M32" s="187"/>
      <c r="N32" s="40"/>
    </row>
    <row r="33" spans="1:14" x14ac:dyDescent="0.2">
      <c r="A33" s="1"/>
      <c r="H33" s="13"/>
      <c r="J33" s="13"/>
      <c r="M33" s="187"/>
      <c r="N33" s="40"/>
    </row>
    <row r="34" spans="1:14" x14ac:dyDescent="0.2">
      <c r="A34" s="1"/>
      <c r="H34" s="13"/>
      <c r="J34" s="13"/>
      <c r="M34" s="187"/>
      <c r="N34" s="40"/>
    </row>
    <row r="35" spans="1:14" x14ac:dyDescent="0.2">
      <c r="A35" s="1"/>
      <c r="H35" s="13"/>
      <c r="J35" s="13"/>
      <c r="M35" s="187"/>
      <c r="N35" s="40"/>
    </row>
    <row r="36" spans="1:14" x14ac:dyDescent="0.2">
      <c r="A36" s="1"/>
      <c r="H36" s="13"/>
      <c r="J36" s="13"/>
      <c r="M36" s="187"/>
      <c r="N36" s="40"/>
    </row>
    <row r="37" spans="1:14" x14ac:dyDescent="0.2">
      <c r="A37" s="1"/>
      <c r="H37" s="13"/>
      <c r="J37" s="13"/>
      <c r="M37" s="187"/>
      <c r="N37" s="40"/>
    </row>
    <row r="38" spans="1:14" x14ac:dyDescent="0.2">
      <c r="A38" s="1"/>
      <c r="H38" s="13"/>
      <c r="J38" s="13"/>
      <c r="M38" s="187"/>
      <c r="N38" s="40"/>
    </row>
    <row r="39" spans="1:14" x14ac:dyDescent="0.2">
      <c r="A39" s="1"/>
      <c r="H39" s="13"/>
      <c r="J39" s="13"/>
      <c r="M39" s="187"/>
      <c r="N39" s="40"/>
    </row>
    <row r="40" spans="1:14" x14ac:dyDescent="0.2">
      <c r="H40" s="13"/>
      <c r="J40" s="13"/>
      <c r="M40" s="187"/>
      <c r="N40" s="40"/>
    </row>
    <row r="41" spans="1:14" x14ac:dyDescent="0.2">
      <c r="H41" s="13"/>
      <c r="J41" s="13"/>
      <c r="M41" s="187"/>
      <c r="N41" s="40"/>
    </row>
    <row r="42" spans="1:14" x14ac:dyDescent="0.2">
      <c r="H42" s="13"/>
      <c r="J42" s="13"/>
      <c r="M42" s="187"/>
      <c r="N42" s="40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0" bestFit="1" customWidth="1"/>
    <col min="9" max="9" width="13.140625" style="18" customWidth="1"/>
    <col min="10" max="10" width="6.42578125" bestFit="1" customWidth="1"/>
    <col min="11" max="11" width="26.85546875" bestFit="1" customWidth="1"/>
    <col min="12" max="12" width="2.42578125" customWidth="1"/>
  </cols>
  <sheetData>
    <row r="1" spans="1:16" x14ac:dyDescent="0.2">
      <c r="A1" s="253" t="s">
        <v>124</v>
      </c>
      <c r="B1" s="61" t="s">
        <v>66</v>
      </c>
      <c r="C1" s="199" t="s">
        <v>67</v>
      </c>
      <c r="D1" s="198" t="s">
        <v>68</v>
      </c>
      <c r="E1" s="61" t="s">
        <v>69</v>
      </c>
      <c r="F1" s="61" t="s">
        <v>70</v>
      </c>
      <c r="G1" s="61" t="s">
        <v>315</v>
      </c>
      <c r="H1" s="197" t="s">
        <v>314</v>
      </c>
      <c r="I1" s="61" t="s">
        <v>313</v>
      </c>
      <c r="J1" s="61" t="s">
        <v>452</v>
      </c>
      <c r="K1" s="61" t="s">
        <v>570</v>
      </c>
      <c r="M1" s="335" t="s">
        <v>854</v>
      </c>
      <c r="N1" s="335"/>
      <c r="O1" s="335"/>
      <c r="P1" s="335"/>
    </row>
    <row r="2" spans="1:16" x14ac:dyDescent="0.2">
      <c r="A2" s="334" t="s">
        <v>395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M2" s="57" t="s">
        <v>588</v>
      </c>
      <c r="N2" s="266">
        <f>MAX(G3:G991)</f>
        <v>2700</v>
      </c>
      <c r="O2" s="113" t="s">
        <v>589</v>
      </c>
      <c r="P2" s="267">
        <f>MAX(H3:H991)</f>
        <v>7880</v>
      </c>
    </row>
    <row r="3" spans="1:16" s="21" customFormat="1" x14ac:dyDescent="0.2">
      <c r="A3" s="38" t="s">
        <v>34</v>
      </c>
      <c r="B3" s="22" t="s">
        <v>0</v>
      </c>
      <c r="C3" s="19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1" t="s">
        <v>27</v>
      </c>
      <c r="L3" s="1"/>
      <c r="M3" s="57" t="s">
        <v>106</v>
      </c>
      <c r="N3" s="266">
        <f>MAX(F3:F991)</f>
        <v>2830</v>
      </c>
      <c r="O3" s="57" t="s">
        <v>590</v>
      </c>
      <c r="P3" s="26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7" t="s">
        <v>6</v>
      </c>
      <c r="I4" s="26" t="s">
        <v>19</v>
      </c>
      <c r="J4" s="26"/>
      <c r="K4" s="28" t="s">
        <v>438</v>
      </c>
      <c r="M4" s="57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7" t="s">
        <v>6</v>
      </c>
      <c r="I5" s="26" t="s">
        <v>19</v>
      </c>
      <c r="J5" s="26"/>
      <c r="K5" t="s">
        <v>31</v>
      </c>
      <c r="M5" s="57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7" t="s">
        <v>6</v>
      </c>
      <c r="I6" s="26" t="s">
        <v>19</v>
      </c>
      <c r="J6" s="26"/>
      <c r="K6" s="28" t="s">
        <v>29</v>
      </c>
      <c r="M6" s="57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7" t="s">
        <v>6</v>
      </c>
      <c r="I7" s="26" t="s">
        <v>19</v>
      </c>
      <c r="J7" s="26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7" t="s">
        <v>6</v>
      </c>
      <c r="I8" s="26" t="s">
        <v>19</v>
      </c>
      <c r="J8" s="26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7" t="s">
        <v>6</v>
      </c>
      <c r="I9" s="26" t="s">
        <v>19</v>
      </c>
      <c r="J9" s="26"/>
      <c r="K9" s="28" t="s">
        <v>33</v>
      </c>
    </row>
    <row r="10" spans="1:16" s="1" customFormat="1" ht="13.5" collapsed="1" thickBot="1" x14ac:dyDescent="0.2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40">
        <f>SUM(G4:G9)</f>
        <v>7026</v>
      </c>
      <c r="I10" s="31"/>
      <c r="J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196"/>
      <c r="I11" s="19"/>
      <c r="J11" s="27"/>
    </row>
    <row r="12" spans="1:16" x14ac:dyDescent="0.2">
      <c r="A12" s="334" t="s">
        <v>228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4"/>
    </row>
    <row r="13" spans="1:16" s="21" customFormat="1" x14ac:dyDescent="0.2">
      <c r="A13" s="39" t="s">
        <v>57</v>
      </c>
      <c r="B13" s="22" t="s">
        <v>0</v>
      </c>
      <c r="C13" s="19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1" t="s">
        <v>52</v>
      </c>
      <c r="L13" s="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7" t="s">
        <v>6</v>
      </c>
      <c r="I14" s="26" t="s">
        <v>19</v>
      </c>
      <c r="J14" s="26" t="s">
        <v>51</v>
      </c>
      <c r="K14" s="28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7" t="s">
        <v>6</v>
      </c>
      <c r="I15" s="26" t="s">
        <v>19</v>
      </c>
      <c r="J15" s="26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7" t="s">
        <v>6</v>
      </c>
      <c r="I16" s="26" t="s">
        <v>63</v>
      </c>
      <c r="K16" s="28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7" t="s">
        <v>6</v>
      </c>
      <c r="I17" s="26" t="s">
        <v>19</v>
      </c>
      <c r="J17" s="26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7" t="s">
        <v>6</v>
      </c>
      <c r="I18" s="26" t="s">
        <v>19</v>
      </c>
      <c r="J18" s="26" t="s">
        <v>19</v>
      </c>
      <c r="K18" s="26" t="s">
        <v>51</v>
      </c>
    </row>
    <row r="19" spans="1:12" s="1" customFormat="1" ht="13.5" collapsed="1" thickBot="1" x14ac:dyDescent="0.2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40">
        <f>SUM(G14:G18)</f>
        <v>4903</v>
      </c>
      <c r="I19" s="37"/>
      <c r="J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196"/>
      <c r="I20" s="19"/>
      <c r="J20" s="27"/>
    </row>
    <row r="21" spans="1:12" x14ac:dyDescent="0.2">
      <c r="A21" s="334" t="s">
        <v>396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</row>
    <row r="22" spans="1:12" s="21" customFormat="1" x14ac:dyDescent="0.2">
      <c r="A22" s="39"/>
      <c r="B22" s="22" t="s">
        <v>0</v>
      </c>
      <c r="C22" s="19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1" t="s">
        <v>52</v>
      </c>
      <c r="L22" s="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7" t="s">
        <v>6</v>
      </c>
      <c r="I23" s="26" t="s">
        <v>19</v>
      </c>
      <c r="K23" s="40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7" t="s">
        <v>6</v>
      </c>
      <c r="I24" s="146" t="s">
        <v>19</v>
      </c>
      <c r="J24" s="26" t="s">
        <v>19</v>
      </c>
      <c r="K24" s="26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7" t="s">
        <v>6</v>
      </c>
      <c r="I25" s="26" t="s">
        <v>19</v>
      </c>
      <c r="K25" s="40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7" t="s">
        <v>6</v>
      </c>
      <c r="I26" s="26" t="s">
        <v>19</v>
      </c>
      <c r="K26" s="40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7" t="s">
        <v>6</v>
      </c>
      <c r="I27" s="26" t="s">
        <v>19</v>
      </c>
      <c r="K27" s="40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7" t="s">
        <v>6</v>
      </c>
      <c r="I28" s="26" t="s">
        <v>19</v>
      </c>
      <c r="K28" s="40"/>
    </row>
    <row r="29" spans="1:12" s="1" customFormat="1" ht="13.5" collapsed="1" thickBot="1" x14ac:dyDescent="0.2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40">
        <f>SUM(G23:G28)</f>
        <v>5300</v>
      </c>
      <c r="I29" s="26" t="s">
        <v>51</v>
      </c>
      <c r="J29" s="31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196"/>
      <c r="I30" s="19"/>
      <c r="J30" s="27"/>
    </row>
    <row r="31" spans="1:12" x14ac:dyDescent="0.2">
      <c r="A31" s="334" t="s">
        <v>69</v>
      </c>
      <c r="B31" s="334"/>
      <c r="C31" s="334"/>
      <c r="D31" s="334"/>
      <c r="E31" s="334"/>
      <c r="F31" s="334"/>
      <c r="G31" s="334"/>
      <c r="H31" s="334"/>
      <c r="I31" s="334"/>
      <c r="J31" s="334"/>
      <c r="K31" s="334"/>
    </row>
    <row r="32" spans="1:12" s="21" customFormat="1" x14ac:dyDescent="0.2">
      <c r="A32" s="39"/>
      <c r="B32" s="22" t="s">
        <v>0</v>
      </c>
      <c r="C32" s="19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1" t="s">
        <v>52</v>
      </c>
      <c r="L32" s="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7" t="s">
        <v>6</v>
      </c>
      <c r="I33" s="7" t="s">
        <v>19</v>
      </c>
      <c r="J33" s="26"/>
      <c r="K33" s="28"/>
    </row>
    <row r="34" spans="1:12" s="1" customFormat="1" ht="13.5" collapsed="1" thickBot="1" x14ac:dyDescent="0.2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40">
        <f>SUM(G33)</f>
        <v>800</v>
      </c>
      <c r="I34" s="37"/>
      <c r="J34" s="31"/>
    </row>
    <row r="35" spans="1:12" ht="13.5" thickTop="1" x14ac:dyDescent="0.2"/>
    <row r="36" spans="1:12" x14ac:dyDescent="0.2">
      <c r="A36" s="334" t="s">
        <v>70</v>
      </c>
      <c r="B36" s="334"/>
      <c r="C36" s="334"/>
      <c r="D36" s="334"/>
      <c r="E36" s="334"/>
      <c r="F36" s="334"/>
      <c r="G36" s="334"/>
      <c r="H36" s="334"/>
      <c r="I36" s="334"/>
      <c r="J36" s="334"/>
      <c r="K36" s="334"/>
    </row>
    <row r="37" spans="1:12" s="21" customFormat="1" x14ac:dyDescent="0.2">
      <c r="A37" s="39"/>
      <c r="B37" s="22" t="s">
        <v>0</v>
      </c>
      <c r="C37" s="19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1" t="s">
        <v>52</v>
      </c>
      <c r="L37" s="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7" t="s">
        <v>6</v>
      </c>
      <c r="I38" s="7" t="s">
        <v>51</v>
      </c>
      <c r="J38" s="26"/>
      <c r="K38" s="40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7" t="s">
        <v>6</v>
      </c>
      <c r="I39" s="7" t="s">
        <v>51</v>
      </c>
      <c r="J39" s="26"/>
      <c r="K39" s="28"/>
    </row>
    <row r="40" spans="1:12" s="1" customFormat="1" ht="13.5" collapsed="1" thickBot="1" x14ac:dyDescent="0.2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40">
        <f>SUM(G38:G39)</f>
        <v>4283</v>
      </c>
      <c r="I40" s="37"/>
      <c r="J40" s="31"/>
    </row>
    <row r="41" spans="1:12" ht="13.5" thickTop="1" x14ac:dyDescent="0.2"/>
    <row r="42" spans="1:12" x14ac:dyDescent="0.2">
      <c r="A42" s="334" t="s">
        <v>222</v>
      </c>
      <c r="B42" s="334"/>
      <c r="C42" s="334"/>
      <c r="D42" s="334"/>
      <c r="E42" s="334"/>
      <c r="F42" s="334"/>
      <c r="G42" s="334"/>
      <c r="H42" s="334"/>
      <c r="I42" s="334"/>
      <c r="J42" s="334"/>
      <c r="K42" s="334"/>
    </row>
    <row r="43" spans="1:12" x14ac:dyDescent="0.2">
      <c r="A43" s="39"/>
      <c r="B43" s="22" t="s">
        <v>0</v>
      </c>
      <c r="C43" s="19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1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7" t="s">
        <v>6</v>
      </c>
      <c r="I44" s="26" t="s">
        <v>19</v>
      </c>
      <c r="J44" s="26"/>
      <c r="K44" s="28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7" t="s">
        <v>6</v>
      </c>
      <c r="I45" s="26" t="s">
        <v>19</v>
      </c>
      <c r="J45" s="26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7" t="s">
        <v>6</v>
      </c>
      <c r="I46" s="26"/>
      <c r="J46" s="26"/>
      <c r="K46" s="28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7" t="s">
        <v>6</v>
      </c>
      <c r="I47" s="26"/>
      <c r="J47" s="26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7" t="s">
        <v>6</v>
      </c>
      <c r="I48" s="26"/>
      <c r="J48" s="26"/>
      <c r="K48" s="26"/>
    </row>
    <row r="49" spans="1:11" ht="13.5" collapsed="1" thickBot="1" x14ac:dyDescent="0.2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40">
        <f>SUM(G44:G48)</f>
        <v>4514</v>
      </c>
      <c r="I49" s="37"/>
      <c r="J49" s="31"/>
      <c r="K49" s="1"/>
    </row>
    <row r="50" spans="1:11" ht="13.5" thickTop="1" x14ac:dyDescent="0.2"/>
    <row r="51" spans="1:11" x14ac:dyDescent="0.2">
      <c r="A51" s="334" t="s">
        <v>223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</row>
    <row r="52" spans="1:11" x14ac:dyDescent="0.2">
      <c r="A52" s="39"/>
      <c r="B52" s="22" t="s">
        <v>0</v>
      </c>
      <c r="C52" s="19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1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7" t="s">
        <v>6</v>
      </c>
      <c r="I53" s="26"/>
      <c r="J53" s="26"/>
      <c r="K53" s="28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7" t="s">
        <v>6</v>
      </c>
      <c r="I54" s="26" t="s">
        <v>19</v>
      </c>
      <c r="J54" s="26" t="s">
        <v>19</v>
      </c>
      <c r="K54" s="26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7" t="s">
        <v>6</v>
      </c>
      <c r="I55" s="26" t="s">
        <v>19</v>
      </c>
      <c r="J55" s="26"/>
      <c r="K55" s="28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7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2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40">
        <f>SUM(G53:G56)</f>
        <v>2670</v>
      </c>
      <c r="I57" s="37"/>
      <c r="J57" s="31"/>
      <c r="K57" s="1"/>
    </row>
    <row r="58" spans="1:11" ht="13.5" thickTop="1" x14ac:dyDescent="0.2"/>
    <row r="59" spans="1:11" x14ac:dyDescent="0.2">
      <c r="A59" s="334" t="s">
        <v>312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</row>
    <row r="60" spans="1:11" x14ac:dyDescent="0.2">
      <c r="A60" s="39"/>
      <c r="B60" s="22" t="s">
        <v>0</v>
      </c>
      <c r="C60" s="19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1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7" t="s">
        <v>6</v>
      </c>
      <c r="I61" s="26" t="s">
        <v>19</v>
      </c>
      <c r="J61" s="26"/>
      <c r="K61" s="28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7" t="s">
        <v>6</v>
      </c>
      <c r="I62" s="26" t="s">
        <v>19</v>
      </c>
      <c r="J62" s="26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7" t="s">
        <v>6</v>
      </c>
      <c r="I63" s="26" t="s">
        <v>19</v>
      </c>
      <c r="J63" s="26" t="s">
        <v>19</v>
      </c>
      <c r="K63" s="28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7" t="s">
        <v>6</v>
      </c>
      <c r="I64" s="26" t="s">
        <v>19</v>
      </c>
      <c r="J64" s="26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7" t="s">
        <v>6</v>
      </c>
      <c r="I65" s="26" t="s">
        <v>19</v>
      </c>
      <c r="J65" s="26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7" t="s">
        <v>6</v>
      </c>
      <c r="I66" s="26" t="s">
        <v>19</v>
      </c>
      <c r="J66" s="26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7" t="s">
        <v>6</v>
      </c>
      <c r="I67" s="26" t="s">
        <v>19</v>
      </c>
      <c r="J67" s="26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7" t="s">
        <v>6</v>
      </c>
      <c r="I68" s="26" t="s">
        <v>19</v>
      </c>
      <c r="J68" s="26"/>
    </row>
    <row r="69" spans="1:11" ht="13.5" collapsed="1" thickBot="1" x14ac:dyDescent="0.2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40">
        <f>SUM(G61:G68)</f>
        <v>4703</v>
      </c>
      <c r="I69" s="37"/>
      <c r="J69" s="31"/>
      <c r="K69" s="1"/>
    </row>
    <row r="70" spans="1:11" ht="13.5" thickTop="1" x14ac:dyDescent="0.2"/>
    <row r="71" spans="1:11" x14ac:dyDescent="0.2">
      <c r="A71" s="334" t="s">
        <v>447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</row>
    <row r="72" spans="1:11" x14ac:dyDescent="0.2">
      <c r="A72" s="39"/>
      <c r="B72" s="22" t="s">
        <v>0</v>
      </c>
      <c r="C72" s="19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1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6" t="s">
        <v>19</v>
      </c>
      <c r="J73" s="26" t="s">
        <v>19</v>
      </c>
      <c r="K73" s="26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5" t="s">
        <v>5</v>
      </c>
      <c r="I74" s="146" t="s">
        <v>19</v>
      </c>
      <c r="J74" s="26" t="s">
        <v>19</v>
      </c>
      <c r="K74" s="26" t="s">
        <v>451</v>
      </c>
    </row>
    <row r="75" spans="1:11" hidden="1" outlineLevel="1" x14ac:dyDescent="0.2">
      <c r="A75" s="1" t="s">
        <v>450</v>
      </c>
      <c r="B75" s="120">
        <v>0.10478009259259259</v>
      </c>
      <c r="C75" s="145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200" t="s">
        <v>5</v>
      </c>
      <c r="I75" s="146" t="s">
        <v>19</v>
      </c>
      <c r="J75" s="26" t="s">
        <v>19</v>
      </c>
      <c r="K75" s="26" t="s">
        <v>451</v>
      </c>
    </row>
    <row r="76" spans="1:11" ht="13.5" collapsed="1" thickBot="1" x14ac:dyDescent="0.25">
      <c r="B76" s="201">
        <f>SUM(B73:B75)</f>
        <v>0.34978009259259257</v>
      </c>
      <c r="C76" s="202">
        <f>SUM(C73:C75)</f>
        <v>154.74</v>
      </c>
      <c r="D76" s="203">
        <f>AVERAGE(D73:D75)</f>
        <v>18.733333333333334</v>
      </c>
      <c r="E76" s="204">
        <f>MIN(E73:E75)</f>
        <v>913</v>
      </c>
      <c r="F76" s="204">
        <f>MAX(F73:F75)</f>
        <v>2757</v>
      </c>
      <c r="G76" s="204">
        <f>MAX(G73:G75)</f>
        <v>1910</v>
      </c>
      <c r="H76" s="205">
        <f>SUM(G73:G75)</f>
        <v>3943</v>
      </c>
    </row>
    <row r="77" spans="1:11" ht="13.5" thickTop="1" x14ac:dyDescent="0.2"/>
    <row r="78" spans="1:11" x14ac:dyDescent="0.2">
      <c r="A78" s="334" t="s">
        <v>561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</row>
    <row r="79" spans="1:11" x14ac:dyDescent="0.2">
      <c r="A79" s="39"/>
      <c r="B79" s="22" t="s">
        <v>0</v>
      </c>
      <c r="C79" s="19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1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6" t="s">
        <v>19</v>
      </c>
      <c r="J80" s="26"/>
      <c r="K80" s="26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5" t="s">
        <v>6</v>
      </c>
      <c r="I81" s="146" t="s">
        <v>19</v>
      </c>
      <c r="J81" s="26" t="s">
        <v>19</v>
      </c>
      <c r="K81" s="26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5" t="s">
        <v>6</v>
      </c>
      <c r="I82" s="146" t="s">
        <v>19</v>
      </c>
      <c r="J82" s="26" t="s">
        <v>19</v>
      </c>
      <c r="K82" s="26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5" t="s">
        <v>6</v>
      </c>
      <c r="I83" s="146" t="s">
        <v>19</v>
      </c>
      <c r="J83" s="26"/>
      <c r="K83" s="26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5" t="s">
        <v>6</v>
      </c>
      <c r="I84" s="146" t="s">
        <v>19</v>
      </c>
      <c r="J84" s="26"/>
      <c r="K84" s="26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5" t="s">
        <v>6</v>
      </c>
      <c r="I85" s="146" t="s">
        <v>19</v>
      </c>
      <c r="J85" s="26"/>
      <c r="K85" s="26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5" t="s">
        <v>6</v>
      </c>
      <c r="I86" s="146" t="s">
        <v>19</v>
      </c>
      <c r="J86" s="26"/>
      <c r="K86" s="26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5" t="s">
        <v>6</v>
      </c>
      <c r="I87" s="146" t="s">
        <v>19</v>
      </c>
      <c r="J87" s="26" t="s">
        <v>19</v>
      </c>
      <c r="K87" s="26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5" t="s">
        <v>6</v>
      </c>
      <c r="I88" s="146" t="s">
        <v>19</v>
      </c>
      <c r="J88" s="26" t="s">
        <v>19</v>
      </c>
      <c r="K88" s="26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5" t="s">
        <v>6</v>
      </c>
      <c r="I89" s="146" t="s">
        <v>19</v>
      </c>
      <c r="J89" s="26" t="s">
        <v>19</v>
      </c>
      <c r="K89" s="26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5" t="s">
        <v>6</v>
      </c>
      <c r="I90" s="146" t="s">
        <v>19</v>
      </c>
      <c r="J90" s="26" t="s">
        <v>19</v>
      </c>
      <c r="K90" s="26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5" t="s">
        <v>6</v>
      </c>
      <c r="I91" s="146" t="s">
        <v>19</v>
      </c>
      <c r="J91" s="26" t="s">
        <v>19</v>
      </c>
      <c r="K91" s="26" t="s">
        <v>19</v>
      </c>
    </row>
    <row r="92" spans="1:11" hidden="1" outlineLevel="1" x14ac:dyDescent="0.2">
      <c r="A92" s="1" t="s">
        <v>227</v>
      </c>
      <c r="B92" s="120">
        <v>4.2187499999999996E-2</v>
      </c>
      <c r="C92" s="145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200" t="s">
        <v>6</v>
      </c>
      <c r="I92" s="146" t="s">
        <v>19</v>
      </c>
      <c r="J92" s="26" t="s">
        <v>19</v>
      </c>
      <c r="K92" s="26" t="s">
        <v>19</v>
      </c>
    </row>
    <row r="93" spans="1:11" ht="13.5" collapsed="1" thickBot="1" x14ac:dyDescent="0.25">
      <c r="B93" s="201">
        <f>SUM(B80:B92)</f>
        <v>1.4708912037037036</v>
      </c>
      <c r="C93" s="202">
        <f>SUM(C80:C92)</f>
        <v>251.5</v>
      </c>
      <c r="D93" s="203">
        <f>AVERAGE(D80:D92)</f>
        <v>7.0350879968653199</v>
      </c>
      <c r="E93" s="204">
        <f>MIN(E80:E92)</f>
        <v>690</v>
      </c>
      <c r="F93" s="204">
        <f>MAX(F80:F92)</f>
        <v>2350</v>
      </c>
      <c r="G93" s="204">
        <f>MAX(G80:G92)</f>
        <v>1020</v>
      </c>
      <c r="H93" s="205">
        <f>SUM(G80:G92)</f>
        <v>7880</v>
      </c>
    </row>
    <row r="94" spans="1:11" ht="13.5" thickTop="1" x14ac:dyDescent="0.2"/>
    <row r="95" spans="1:11" x14ac:dyDescent="0.2">
      <c r="A95" s="334" t="s">
        <v>745</v>
      </c>
      <c r="B95" s="334"/>
      <c r="C95" s="334"/>
      <c r="D95" s="334"/>
      <c r="E95" s="334"/>
      <c r="F95" s="334"/>
      <c r="G95" s="334"/>
      <c r="H95" s="334"/>
      <c r="I95" s="334"/>
      <c r="J95" s="334"/>
      <c r="K95" s="334"/>
    </row>
    <row r="96" spans="1:11" x14ac:dyDescent="0.2">
      <c r="A96" s="39"/>
      <c r="B96" s="22" t="s">
        <v>0</v>
      </c>
      <c r="C96" s="19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1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6" t="s">
        <v>19</v>
      </c>
      <c r="J97" s="26"/>
      <c r="K97" s="26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5" t="s">
        <v>6</v>
      </c>
      <c r="I98" s="146" t="s">
        <v>19</v>
      </c>
      <c r="J98" s="26" t="s">
        <v>19</v>
      </c>
      <c r="K98" s="26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5" t="s">
        <v>6</v>
      </c>
      <c r="I99" s="146" t="s">
        <v>19</v>
      </c>
      <c r="J99" s="26"/>
      <c r="K99" s="26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5" t="s">
        <v>6</v>
      </c>
      <c r="I100" s="146"/>
      <c r="J100" s="26"/>
      <c r="K100" s="26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5" t="s">
        <v>6</v>
      </c>
      <c r="I101" s="146" t="s">
        <v>19</v>
      </c>
      <c r="J101" s="26" t="s">
        <v>19</v>
      </c>
      <c r="K101" s="26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5" t="s">
        <v>6</v>
      </c>
      <c r="I102" s="146" t="s">
        <v>19</v>
      </c>
      <c r="J102" s="26"/>
      <c r="K102" s="26"/>
    </row>
    <row r="103" spans="1:11" ht="13.5" collapsed="1" thickBot="1" x14ac:dyDescent="0.25">
      <c r="B103" s="201">
        <f>SUM(B97:B102)</f>
        <v>0.58799768518518525</v>
      </c>
      <c r="C103" s="202">
        <f>SUM(C97:C102)</f>
        <v>99.1</v>
      </c>
      <c r="D103" s="203">
        <f>AVERAGE(D97:D102)</f>
        <v>7.6233644588293688</v>
      </c>
      <c r="E103" s="204">
        <f>MIN(E97:E102)</f>
        <v>4</v>
      </c>
      <c r="F103" s="204">
        <f>MAX(F97:F102)</f>
        <v>2360</v>
      </c>
      <c r="G103" s="204">
        <f>MAX(G97:G102)</f>
        <v>680</v>
      </c>
      <c r="H103" s="205">
        <f>SUM(G97:G102)</f>
        <v>3050</v>
      </c>
    </row>
    <row r="104" spans="1:11" ht="13.5" thickTop="1" x14ac:dyDescent="0.2"/>
    <row r="105" spans="1:11" x14ac:dyDescent="0.2">
      <c r="A105" s="334" t="s">
        <v>845</v>
      </c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</row>
    <row r="106" spans="1:11" x14ac:dyDescent="0.2">
      <c r="A106" s="39"/>
      <c r="B106" s="22" t="s">
        <v>0</v>
      </c>
      <c r="C106" s="19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1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393</v>
      </c>
      <c r="I107" s="146"/>
      <c r="J107" s="26"/>
      <c r="K107" s="26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5" t="s">
        <v>393</v>
      </c>
      <c r="I108" s="146"/>
      <c r="J108" s="26"/>
      <c r="K108" s="26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5" t="s">
        <v>393</v>
      </c>
      <c r="I109" s="146"/>
      <c r="J109" s="26"/>
      <c r="K109" s="26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5" t="s">
        <v>393</v>
      </c>
      <c r="I110" s="146"/>
      <c r="J110" s="26"/>
      <c r="K110" s="26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5" t="s">
        <v>393</v>
      </c>
      <c r="I111" s="146"/>
      <c r="J111" s="26"/>
      <c r="K111" s="26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5" t="s">
        <v>393</v>
      </c>
      <c r="I112" s="146"/>
      <c r="J112" s="26"/>
      <c r="K112" s="26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5" t="s">
        <v>393</v>
      </c>
      <c r="I113" s="146"/>
      <c r="J113" s="26"/>
      <c r="K113" s="26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5" t="s">
        <v>393</v>
      </c>
      <c r="I114" s="146"/>
      <c r="J114" s="26"/>
      <c r="K114" s="26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5" t="s">
        <v>393</v>
      </c>
      <c r="I115" s="146"/>
      <c r="J115" s="26"/>
      <c r="K115" s="26"/>
    </row>
    <row r="116" spans="1:11" ht="13.5" collapsed="1" thickBot="1" x14ac:dyDescent="0.25">
      <c r="B116" s="201">
        <f>SUM(B107:B115)</f>
        <v>0.90277777777777779</v>
      </c>
      <c r="C116" s="202">
        <f>SUM(C107:C115)</f>
        <v>320.3</v>
      </c>
      <c r="D116" s="203">
        <f>AVERAGE(D107:D115)</f>
        <v>14.798677248677247</v>
      </c>
      <c r="E116" s="204">
        <f>MIN(E107:E115)</f>
        <v>740</v>
      </c>
      <c r="F116" s="204">
        <f>MAX(F107:F115)</f>
        <v>2830</v>
      </c>
      <c r="G116" s="204">
        <f>MAX(G107:G115)</f>
        <v>1530</v>
      </c>
      <c r="H116" s="205">
        <f>SUM(G107:G115)</f>
        <v>7802</v>
      </c>
    </row>
    <row r="117" spans="1:11" ht="13.5" thickTop="1" x14ac:dyDescent="0.2"/>
    <row r="118" spans="1:11" x14ac:dyDescent="0.2">
      <c r="A118" s="334" t="s">
        <v>901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</row>
    <row r="119" spans="1:11" x14ac:dyDescent="0.2">
      <c r="A119" s="39"/>
      <c r="B119" s="22" t="s">
        <v>0</v>
      </c>
      <c r="C119" s="19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1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393</v>
      </c>
      <c r="I120" s="146"/>
      <c r="J120" s="26"/>
      <c r="K120" s="26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5" t="s">
        <v>393</v>
      </c>
      <c r="I121" s="146"/>
      <c r="J121" s="26"/>
      <c r="K121" s="26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5" t="s">
        <v>393</v>
      </c>
      <c r="I122" s="146"/>
      <c r="J122" s="26"/>
      <c r="K122" s="26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5" t="s">
        <v>393</v>
      </c>
      <c r="I123" s="146"/>
      <c r="J123" s="26"/>
      <c r="K123" s="26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5" t="s">
        <v>393</v>
      </c>
      <c r="I124" s="146"/>
      <c r="J124" s="26"/>
      <c r="K124" s="26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5" t="s">
        <v>393</v>
      </c>
      <c r="I125" s="146"/>
      <c r="J125" s="26"/>
      <c r="K125" s="26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5" t="s">
        <v>393</v>
      </c>
      <c r="I126" s="146"/>
      <c r="J126" s="26"/>
      <c r="K126" s="26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5" t="s">
        <v>393</v>
      </c>
      <c r="I127" s="146"/>
      <c r="J127" s="26"/>
      <c r="K127" s="26"/>
    </row>
    <row r="128" spans="1:11" ht="13.5" collapsed="1" thickBot="1" x14ac:dyDescent="0.25">
      <c r="B128" s="201">
        <f>SUM(B120:B127)</f>
        <v>0.64097222222222217</v>
      </c>
      <c r="C128" s="202">
        <f>SUM(C120:C127)</f>
        <v>266.8</v>
      </c>
      <c r="D128" s="203">
        <f>AVERAGE(D120:D127)</f>
        <v>17.691441419153577</v>
      </c>
      <c r="E128" s="204">
        <f>MIN(E120:E127)</f>
        <v>540</v>
      </c>
      <c r="F128" s="204">
        <f>MAX(F120:F127)</f>
        <v>2035</v>
      </c>
      <c r="G128" s="204">
        <f>MAX(G120:G127)</f>
        <v>1500</v>
      </c>
      <c r="H128" s="205">
        <f>SUM(G120:G127)</f>
        <v>5245</v>
      </c>
    </row>
    <row r="129" spans="1:11" ht="13.5" thickTop="1" x14ac:dyDescent="0.2"/>
    <row r="130" spans="1:11" x14ac:dyDescent="0.2">
      <c r="A130" s="334" t="s">
        <v>919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</row>
    <row r="131" spans="1:11" x14ac:dyDescent="0.2">
      <c r="A131" s="39"/>
      <c r="B131" s="22" t="s">
        <v>0</v>
      </c>
      <c r="C131" s="19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1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393</v>
      </c>
      <c r="I132" s="146"/>
      <c r="J132" s="26"/>
      <c r="K132" s="26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5" t="s">
        <v>393</v>
      </c>
      <c r="I133" s="146"/>
      <c r="J133" s="26"/>
      <c r="K133" s="26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5" t="s">
        <v>393</v>
      </c>
      <c r="I134" s="146"/>
      <c r="J134" s="26"/>
      <c r="K134" s="26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5" t="s">
        <v>393</v>
      </c>
      <c r="I135" s="146"/>
      <c r="J135" s="26"/>
      <c r="K135" s="26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5" t="s">
        <v>393</v>
      </c>
      <c r="I136" s="146"/>
      <c r="J136" s="26"/>
      <c r="K136" s="26"/>
    </row>
    <row r="137" spans="1:11" ht="13.5" collapsed="1" thickBot="1" x14ac:dyDescent="0.25">
      <c r="B137" s="201">
        <f>SUM(B132:B136)</f>
        <v>0.45833333333333337</v>
      </c>
      <c r="C137" s="202">
        <f>SUM(C132:C136)</f>
        <v>171.1</v>
      </c>
      <c r="D137" s="203">
        <f>AVERAGE(D132:D136)</f>
        <v>14.811333333333334</v>
      </c>
      <c r="E137" s="204">
        <f>MIN(E132:E136)</f>
        <v>666</v>
      </c>
      <c r="F137" s="204">
        <f>MAX(F132:F136)</f>
        <v>1830</v>
      </c>
      <c r="G137" s="204">
        <f>MAX(G132:G136)</f>
        <v>1440</v>
      </c>
      <c r="H137" s="205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customWidth="1"/>
    <col min="13" max="13" width="12.42578125" bestFit="1" customWidth="1"/>
    <col min="16" max="16" width="2.85546875" customWidth="1"/>
    <col min="17" max="17" width="15.28515625" bestFit="1" customWidth="1"/>
    <col min="20" max="20" width="2.85546875" customWidth="1"/>
    <col min="21" max="21" width="14.140625" bestFit="1" customWidth="1"/>
  </cols>
  <sheetData>
    <row r="1" spans="1:21" ht="15.75" x14ac:dyDescent="0.25">
      <c r="A1" s="336" t="s">
        <v>917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</row>
    <row r="3" spans="1:21" s="60" customFormat="1" ht="15.75" x14ac:dyDescent="0.25">
      <c r="A3" s="340" t="s">
        <v>304</v>
      </c>
      <c r="B3" s="341"/>
      <c r="C3" s="341"/>
      <c r="D3" s="341"/>
      <c r="E3" s="341"/>
      <c r="F3" s="341"/>
      <c r="G3" s="341"/>
      <c r="H3" s="342"/>
      <c r="J3" s="340" t="s">
        <v>276</v>
      </c>
      <c r="K3" s="341"/>
      <c r="L3" s="342"/>
      <c r="N3" s="344" t="s">
        <v>812</v>
      </c>
      <c r="O3" s="345"/>
      <c r="Q3" s="340" t="s">
        <v>377</v>
      </c>
      <c r="R3" s="341"/>
      <c r="S3" s="342"/>
      <c r="U3" s="256" t="s">
        <v>582</v>
      </c>
    </row>
    <row r="4" spans="1:21" s="59" customFormat="1" ht="15.75" x14ac:dyDescent="0.25">
      <c r="A4" s="162" t="s">
        <v>145</v>
      </c>
      <c r="B4" s="224">
        <v>0.33333333333333331</v>
      </c>
      <c r="C4" s="113" t="s">
        <v>146</v>
      </c>
      <c r="D4" s="261">
        <f ca="1">A13-(B4/2)</f>
        <v>0.35923611111111109</v>
      </c>
      <c r="E4" s="325" t="s">
        <v>294</v>
      </c>
      <c r="F4" s="261">
        <f ca="1">A14-(B4/2)</f>
        <v>0.40090277777777783</v>
      </c>
      <c r="G4" s="325" t="s">
        <v>295</v>
      </c>
      <c r="H4" s="206"/>
      <c r="J4" s="122" t="s">
        <v>261</v>
      </c>
      <c r="K4" s="319">
        <v>590</v>
      </c>
      <c r="L4" s="125" t="s">
        <v>277</v>
      </c>
      <c r="N4" s="296" t="s">
        <v>238</v>
      </c>
      <c r="O4" s="297" t="s">
        <v>2</v>
      </c>
      <c r="Q4" s="162" t="s">
        <v>375</v>
      </c>
      <c r="R4" s="163">
        <f>MAX('08'!G1,'09'!I1,'10'!I1,'11'!I1,'12'!I1,'13'!I1,'14'!I1,'15'!I1,'16'!I1,'17'!I1,'18'!I1)</f>
        <v>207</v>
      </c>
      <c r="S4" s="164">
        <f>MAX('08'!C1,'09'!E1,'10'!E1,'11'!E1,'12'!E1,'13'!E1,'14'!E1,'15'!E1,'16'!E1,'17'!E1,'18'!E1)</f>
        <v>8113.8899999999985</v>
      </c>
      <c r="U4" s="251">
        <v>2.8472222222222222E-2</v>
      </c>
    </row>
    <row r="5" spans="1:21" ht="15.75" customHeight="1" x14ac:dyDescent="0.2">
      <c r="A5" s="100" t="s">
        <v>125</v>
      </c>
      <c r="E5" s="109" t="s">
        <v>55</v>
      </c>
      <c r="H5" s="108"/>
      <c r="J5" s="123" t="s">
        <v>262</v>
      </c>
      <c r="K5" s="320">
        <v>2035</v>
      </c>
      <c r="L5" s="126" t="s">
        <v>277</v>
      </c>
      <c r="N5" s="293">
        <f>AVERAGE('08'!C1:D1,'09'!E1:F1,'10'!E1:F1,'11'!E1:F1,'12'!E1:F1,'13'!E1:F1,'14'!E1:F1,'15'!E1:F1,'16'!E1:F1,'17'!E1:F1)</f>
        <v>7059.7260000000006</v>
      </c>
      <c r="O5" s="164">
        <f>AVERAGE('08'!AI1:AJ1,'09'!AU1:AV1,'10'!AU1:AV1,'11'!AU1:AV1,'12'!AU1:AV1,'13'!AU1:AV1,'14'!AU1:AV1,'15'!AU1:AV1,'16'!AU1:AV1,'17'!AU1:AV1)</f>
        <v>68608.800000000003</v>
      </c>
      <c r="Q5" s="162" t="s">
        <v>376</v>
      </c>
      <c r="R5" s="165">
        <f>MAX(Urlaub!N2,'08'!AE1,'09'!AN1,'10'!AN1,'11'!AN1,'12'!AN1,'13'!AN1,'14'!AN1,'15'!AN1,'16'!AN1,'17'!AN1,'18'!AN1)</f>
        <v>2700</v>
      </c>
      <c r="S5" s="164">
        <f>MAX('08'!AI1,'09'!AU1,'10'!AU1,'11'!AU1,'12'!AU1,'13'!AU1,'14'!AU1,'15'!AU1,'16'!AU1,'17'!AU1,'18'!AU1)</f>
        <v>89263</v>
      </c>
      <c r="U5" s="251">
        <v>3.6805555555555557E-2</v>
      </c>
    </row>
    <row r="6" spans="1:21" x14ac:dyDescent="0.2">
      <c r="A6" s="100" t="s">
        <v>126</v>
      </c>
      <c r="D6" t="s">
        <v>331</v>
      </c>
      <c r="H6" s="108"/>
      <c r="J6" s="122" t="s">
        <v>263</v>
      </c>
      <c r="K6" s="319">
        <v>590</v>
      </c>
      <c r="L6" s="125" t="s">
        <v>277</v>
      </c>
      <c r="N6" s="346" t="s">
        <v>736</v>
      </c>
      <c r="O6" s="347"/>
      <c r="Q6" s="162" t="s">
        <v>477</v>
      </c>
      <c r="R6" s="165">
        <f>MAX('08'!AC40,'09'!AL42,'10'!AL42,'11'!AL42,'12'!AL42,'13'!AL42,'14'!AL42,'15'!AL42,'16'!AL42,'17'!AL42,'18'!AL42)</f>
        <v>1042.1100000000001</v>
      </c>
      <c r="S6" s="164">
        <f>MAX('08'!AD40,'09'!AM42,'10'!AM42,'11'!AM42,'12'!AM42,'13'!AM42,'14'!AM42,'15'!AM42,'16'!AM42,'17'!AM42,'18'!AM42)</f>
        <v>13461</v>
      </c>
      <c r="U6" s="251"/>
    </row>
    <row r="7" spans="1:21" x14ac:dyDescent="0.2">
      <c r="A7" s="110">
        <v>9</v>
      </c>
      <c r="B7" t="s">
        <v>127</v>
      </c>
      <c r="D7">
        <v>49</v>
      </c>
      <c r="E7" t="s">
        <v>332</v>
      </c>
      <c r="H7" s="108"/>
      <c r="J7" s="123" t="s">
        <v>264</v>
      </c>
      <c r="K7" s="320">
        <v>620</v>
      </c>
      <c r="L7" s="126" t="s">
        <v>277</v>
      </c>
      <c r="N7" s="293">
        <f>S4-N5</f>
        <v>1054.1639999999979</v>
      </c>
      <c r="O7" s="164">
        <f>S5-O5</f>
        <v>20654.199999999997</v>
      </c>
      <c r="Q7" s="162" t="s">
        <v>918</v>
      </c>
      <c r="R7" s="138">
        <f>MAX('09'!AR1,'10'!AR1,'11'!AR1,'12'!AR1,'13'!AR1,'14'!AR1,'15'!AR1,'16'!AR1,'17'!AR1,'18'!AR1)</f>
        <v>0.125</v>
      </c>
      <c r="S7" s="164">
        <f>MAX('09'!AV35,'10'!AV35,'11'!AV35,'12'!AV35,'13'!AV35,'14'!AV35,'15'!AV35,'16'!AV35,'17'!AV35,'18'!AV35)</f>
        <v>920.8</v>
      </c>
      <c r="U7" s="251"/>
    </row>
    <row r="8" spans="1:21" x14ac:dyDescent="0.2">
      <c r="A8" s="111">
        <v>13</v>
      </c>
      <c r="B8" t="s">
        <v>128</v>
      </c>
      <c r="D8">
        <v>42</v>
      </c>
      <c r="E8" t="s">
        <v>333</v>
      </c>
      <c r="H8" s="108"/>
      <c r="J8" s="122" t="s">
        <v>265</v>
      </c>
      <c r="K8" s="319"/>
      <c r="L8" s="125" t="s">
        <v>277</v>
      </c>
      <c r="N8" s="294">
        <f>N5/S4</f>
        <v>0.87007908660334343</v>
      </c>
      <c r="O8" s="295">
        <f>O5/S5</f>
        <v>0.76861409542587633</v>
      </c>
      <c r="Q8" s="166" t="s">
        <v>753</v>
      </c>
      <c r="R8" s="145">
        <f>MAX('08'!B40,'09'!T1:U1,'10'!T1:U1,'11'!T1:U1,'12'!T1:U1,'13'!T1:U1,'14'!T1:U1,'15'!T1:U1,'16'!T1:U1,'17'!T1:U1,'18'!T1:U1)</f>
        <v>28.737098655776773</v>
      </c>
      <c r="S8" s="208">
        <f>MAX('08'!C40,'09'!AB1:AC1,'10'!AB1:AC1,'11'!AB1:AC1,'12'!AB1:AC1,'13'!AB1:AC1,'14'!AB1:AC1,'15'!AB1:AC1,'16'!AB1:AC1,'17'!AB1:AC1,'18'!AB1:AC1)</f>
        <v>297.89439566472174</v>
      </c>
      <c r="U8" s="252">
        <f>SUM(U4:U7)</f>
        <v>6.5277777777777782E-2</v>
      </c>
    </row>
    <row r="9" spans="1:21" x14ac:dyDescent="0.2">
      <c r="A9" s="111">
        <v>35</v>
      </c>
      <c r="B9" t="s">
        <v>129</v>
      </c>
      <c r="D9">
        <v>10</v>
      </c>
      <c r="E9" t="s">
        <v>334</v>
      </c>
      <c r="H9" s="108"/>
      <c r="J9" s="123" t="s">
        <v>266</v>
      </c>
      <c r="K9" s="320"/>
      <c r="L9" s="126" t="s">
        <v>277</v>
      </c>
      <c r="N9" s="11"/>
      <c r="O9" s="5"/>
    </row>
    <row r="10" spans="1:21" ht="15.75" x14ac:dyDescent="0.25">
      <c r="A10" s="112">
        <f ca="1">TODAY()</f>
        <v>44968</v>
      </c>
      <c r="B10" s="113" t="s">
        <v>147</v>
      </c>
      <c r="H10" s="108"/>
      <c r="J10" s="122" t="s">
        <v>267</v>
      </c>
      <c r="K10" s="319"/>
      <c r="L10" s="125" t="s">
        <v>277</v>
      </c>
      <c r="N10" s="344" t="s">
        <v>737</v>
      </c>
      <c r="O10" s="345"/>
      <c r="Q10" s="340" t="s">
        <v>938</v>
      </c>
      <c r="R10" s="341"/>
      <c r="S10" s="342"/>
      <c r="U10" s="256" t="s">
        <v>912</v>
      </c>
    </row>
    <row r="11" spans="1:21" x14ac:dyDescent="0.2">
      <c r="A11" s="100" t="s">
        <v>130</v>
      </c>
      <c r="H11" s="108"/>
      <c r="J11" s="123" t="s">
        <v>268</v>
      </c>
      <c r="K11" s="320"/>
      <c r="L11" s="126" t="s">
        <v>277</v>
      </c>
      <c r="N11" s="298" t="s">
        <v>738</v>
      </c>
      <c r="O11" s="299" t="s">
        <v>739</v>
      </c>
      <c r="Q11" s="168" t="s">
        <v>238</v>
      </c>
      <c r="R11" s="217"/>
      <c r="S11" s="218">
        <f>SUM('08'!AI35,'09'!AT35,'10'!AT35,'11'!AT35,'12'!AT35,'13'!AT35,'14'!AT35,'15'!AT35,'16'!AT35,'17'!AT35,'18'!AT35)</f>
        <v>76375.41</v>
      </c>
      <c r="U11" s="251">
        <v>0.36805555555555558</v>
      </c>
    </row>
    <row r="12" spans="1:21" x14ac:dyDescent="0.2">
      <c r="A12" s="265">
        <f ca="1">TIME(E16,F16,G16)</f>
        <v>0.48423611111111109</v>
      </c>
      <c r="B12" t="s">
        <v>131</v>
      </c>
      <c r="H12" s="108"/>
      <c r="J12" s="122" t="s">
        <v>269</v>
      </c>
      <c r="K12" s="319"/>
      <c r="L12" s="125" t="s">
        <v>277</v>
      </c>
      <c r="N12" s="118">
        <f>MAX('08'!N40,'09'!N42,'10'!N42,'11'!N42,'12'!N42,'13'!N42,'14'!N42,'15'!N42,'16'!N42)</f>
        <v>82</v>
      </c>
      <c r="O12" s="300">
        <f>N12/G37</f>
        <v>2.7767817296160264</v>
      </c>
      <c r="Q12" s="67" t="s">
        <v>517</v>
      </c>
      <c r="R12" s="212">
        <v>40074</v>
      </c>
      <c r="S12" s="216">
        <f>S11/R12</f>
        <v>1.9058594100913311</v>
      </c>
      <c r="U12" s="251">
        <v>0.29652777777777778</v>
      </c>
    </row>
    <row r="13" spans="1:21" x14ac:dyDescent="0.2">
      <c r="A13" s="265">
        <f ca="1">TIME(E16+1,F16,G16)</f>
        <v>0.52590277777777772</v>
      </c>
      <c r="B13" t="s">
        <v>132</v>
      </c>
      <c r="H13" s="108"/>
      <c r="J13" s="123" t="s">
        <v>270</v>
      </c>
      <c r="K13" s="320"/>
      <c r="L13" s="126" t="s">
        <v>277</v>
      </c>
      <c r="N13" s="346" t="s">
        <v>743</v>
      </c>
      <c r="O13" s="347"/>
      <c r="Q13" s="219" t="s">
        <v>2</v>
      </c>
      <c r="R13" s="220"/>
      <c r="S13" s="221">
        <f>SUM('08'!AJ35,'09'!AU35,'10'!AU35,'11'!AU35,'12'!AU35,'13'!AU35,'14'!AU35,'15'!AU35,'16'!AU35,'17'!AU35,'18'!AU35)</f>
        <v>730749</v>
      </c>
      <c r="U13" s="252">
        <f>U11-U12</f>
        <v>7.1527777777777801E-2</v>
      </c>
    </row>
    <row r="14" spans="1:21" x14ac:dyDescent="0.2">
      <c r="A14" s="265">
        <f ca="1">TIME(E16+2,F16,G16)</f>
        <v>0.56756944444444446</v>
      </c>
      <c r="B14" t="s">
        <v>133</v>
      </c>
      <c r="H14" s="108"/>
      <c r="J14" s="122" t="s">
        <v>271</v>
      </c>
      <c r="K14" s="319"/>
      <c r="L14" s="125" t="s">
        <v>277</v>
      </c>
      <c r="N14" s="301">
        <f>MAX('08'!N41,'09'!N43,'10'!N43,'11'!N43,'12'!N43,'13'!N43,'14'!N43,'15'!N43,'16'!N43)</f>
        <v>18</v>
      </c>
      <c r="O14" s="302">
        <f>N14/G37</f>
        <v>0.60953745284254235</v>
      </c>
      <c r="Q14" s="67" t="s">
        <v>511</v>
      </c>
      <c r="R14" s="49"/>
      <c r="S14" s="215">
        <v>15000</v>
      </c>
    </row>
    <row r="15" spans="1:21" ht="15.75" x14ac:dyDescent="0.25">
      <c r="A15" s="162">
        <f ca="1">(B18-G18)*4</f>
        <v>-14.208299042809813</v>
      </c>
      <c r="B15" t="s">
        <v>134</v>
      </c>
      <c r="D15">
        <f>(A9/60+A8)/60+A7</f>
        <v>9.2263888888888896</v>
      </c>
      <c r="E15" t="s">
        <v>135</v>
      </c>
      <c r="H15" s="108"/>
      <c r="J15" s="123" t="s">
        <v>272</v>
      </c>
      <c r="K15" s="320"/>
      <c r="L15" s="126" t="s">
        <v>277</v>
      </c>
      <c r="N15" s="11"/>
      <c r="O15" s="5"/>
      <c r="Q15" s="67" t="s">
        <v>512</v>
      </c>
      <c r="R15" s="49"/>
      <c r="S15" s="215">
        <v>50000</v>
      </c>
      <c r="U15" s="256" t="s">
        <v>603</v>
      </c>
    </row>
    <row r="16" spans="1:21" ht="15.75" x14ac:dyDescent="0.25">
      <c r="A16" s="100" t="s">
        <v>136</v>
      </c>
      <c r="C16" t="s">
        <v>137</v>
      </c>
      <c r="D16">
        <f ca="1">(180-D15)*4-A15</f>
        <v>697.30274348725425</v>
      </c>
      <c r="E16" s="5">
        <f ca="1">INT(D16/60)</f>
        <v>11</v>
      </c>
      <c r="F16" s="5">
        <f ca="1">INT((D16/60-E16)*60)</f>
        <v>37</v>
      </c>
      <c r="G16">
        <f ca="1">(D16-E16*60-F16)*60</f>
        <v>18.164609235254829</v>
      </c>
      <c r="H16" s="108"/>
      <c r="J16" s="122" t="s">
        <v>273</v>
      </c>
      <c r="K16" s="319"/>
      <c r="L16" s="125" t="s">
        <v>277</v>
      </c>
      <c r="N16" s="344" t="s">
        <v>744</v>
      </c>
      <c r="O16" s="345"/>
      <c r="Q16" s="67" t="s">
        <v>513</v>
      </c>
      <c r="R16" s="49"/>
      <c r="S16" s="215">
        <v>80000</v>
      </c>
      <c r="U16" s="254">
        <v>1210</v>
      </c>
    </row>
    <row r="17" spans="1:22" x14ac:dyDescent="0.2">
      <c r="A17" s="114" t="s">
        <v>138</v>
      </c>
      <c r="B17" s="30" t="s">
        <v>139</v>
      </c>
      <c r="C17" s="30" t="s">
        <v>140</v>
      </c>
      <c r="D17" s="30" t="s">
        <v>141</v>
      </c>
      <c r="E17" s="30" t="s">
        <v>142</v>
      </c>
      <c r="F17" s="30" t="s">
        <v>143</v>
      </c>
      <c r="G17" s="30" t="s">
        <v>144</v>
      </c>
      <c r="H17" s="108"/>
      <c r="J17" s="124" t="s">
        <v>274</v>
      </c>
      <c r="K17" s="321"/>
      <c r="L17" s="127" t="s">
        <v>277</v>
      </c>
      <c r="N17" s="296" t="s">
        <v>238</v>
      </c>
      <c r="O17" s="297" t="s">
        <v>2</v>
      </c>
      <c r="Q17" s="67" t="s">
        <v>514</v>
      </c>
      <c r="R17" s="49"/>
      <c r="S17" s="215">
        <v>500000</v>
      </c>
      <c r="U17" s="254">
        <v>1680</v>
      </c>
    </row>
    <row r="18" spans="1:22" x14ac:dyDescent="0.2">
      <c r="A18" s="115">
        <f ca="1">280.46+0.9856474*(A10-36526)</f>
        <v>8601.2953507999991</v>
      </c>
      <c r="B18" s="116">
        <f ca="1">A18-(INT(A18/360))*360</f>
        <v>321.29535079999914</v>
      </c>
      <c r="C18" s="116">
        <f ca="1">357.528+0.9856003*(A10-36526)</f>
        <v>8677.9657325999997</v>
      </c>
      <c r="D18" s="116">
        <f ca="1">C18-(INT(C18/360))*360</f>
        <v>37.965732599999683</v>
      </c>
      <c r="E18" s="116">
        <f ca="1">B18+1.915*SIN(D18*PI()/180)+0.02*SIN(D18*PI()/90)</f>
        <v>322.49283990212535</v>
      </c>
      <c r="F18" s="116">
        <f ca="1">TAN((23.439-0.0000004*(A10-36526))*PI()/360)</f>
        <v>0.20741426848198619</v>
      </c>
      <c r="G18" s="116">
        <f ca="1">E18-(POWER(F18,2))*(SIN(E18*PI()/90))*180/PI()+(POWER(F18,4))*(SIN(E18*PI()/45))*90/PI()</f>
        <v>324.84742556070159</v>
      </c>
      <c r="H18" s="117"/>
      <c r="J18" s="288" t="s">
        <v>275</v>
      </c>
      <c r="K18" s="287">
        <f>K5-K4+K7-K6+K9-K8+K11-K10+K13-K12+K15-K14+K17-K16</f>
        <v>1475</v>
      </c>
      <c r="L18" s="289" t="s">
        <v>277</v>
      </c>
      <c r="N18" s="303">
        <f>S4/12</f>
        <v>676.15749999999991</v>
      </c>
      <c r="O18" s="167">
        <f>S5/12</f>
        <v>7438.583333333333</v>
      </c>
      <c r="Q18" s="67" t="s">
        <v>515</v>
      </c>
      <c r="R18" s="49"/>
      <c r="S18" s="215">
        <v>10000000</v>
      </c>
      <c r="U18" s="255">
        <f>(U16+U17)/2</f>
        <v>1445</v>
      </c>
    </row>
    <row r="19" spans="1:22" x14ac:dyDescent="0.2">
      <c r="J19" s="191"/>
      <c r="K19" s="304"/>
      <c r="L19" s="191"/>
      <c r="N19" s="165"/>
      <c r="O19" s="165"/>
      <c r="Q19" s="232" t="s">
        <v>516</v>
      </c>
      <c r="R19" s="233"/>
      <c r="S19" s="234" t="s">
        <v>573</v>
      </c>
    </row>
    <row r="20" spans="1:22" ht="15.75" x14ac:dyDescent="0.25">
      <c r="U20" s="256" t="s">
        <v>806</v>
      </c>
    </row>
    <row r="21" spans="1:22" ht="15.75" x14ac:dyDescent="0.25">
      <c r="A21" s="340" t="s">
        <v>439</v>
      </c>
      <c r="B21" s="341"/>
      <c r="C21" s="341"/>
      <c r="D21" s="341"/>
      <c r="E21" s="341"/>
      <c r="F21" s="341"/>
      <c r="G21" s="341"/>
      <c r="H21" s="342"/>
      <c r="J21" s="340" t="s">
        <v>559</v>
      </c>
      <c r="K21" s="341"/>
      <c r="L21" s="341"/>
      <c r="M21" s="341"/>
      <c r="N21" s="341"/>
      <c r="O21" s="342"/>
      <c r="Q21" s="340" t="s">
        <v>371</v>
      </c>
      <c r="R21" s="341"/>
      <c r="S21" s="342"/>
      <c r="U21" s="260">
        <v>3.06</v>
      </c>
    </row>
    <row r="22" spans="1:22" x14ac:dyDescent="0.2">
      <c r="A22" s="118"/>
      <c r="B22" s="2"/>
      <c r="C22" s="12"/>
      <c r="D22" s="5" t="s">
        <v>233</v>
      </c>
      <c r="E22" s="2">
        <v>4.1666666666666664E-2</v>
      </c>
      <c r="H22" s="108"/>
      <c r="J22" s="100" t="s">
        <v>291</v>
      </c>
      <c r="K22" s="41" t="s">
        <v>947</v>
      </c>
      <c r="L22" s="171" t="s">
        <v>292</v>
      </c>
      <c r="M22" s="171" t="s">
        <v>293</v>
      </c>
      <c r="N22" s="171" t="s">
        <v>391</v>
      </c>
      <c r="O22" s="141" t="s">
        <v>750</v>
      </c>
      <c r="Q22" s="154" t="s">
        <v>369</v>
      </c>
      <c r="R22" s="155" t="s">
        <v>370</v>
      </c>
      <c r="S22" s="156" t="s">
        <v>306</v>
      </c>
      <c r="U22" s="260">
        <v>1.54</v>
      </c>
    </row>
    <row r="23" spans="1:22" x14ac:dyDescent="0.2">
      <c r="A23" s="273" t="s">
        <v>0</v>
      </c>
      <c r="B23" s="275" t="s">
        <v>234</v>
      </c>
      <c r="C23" s="238" t="s">
        <v>237</v>
      </c>
      <c r="D23" s="5" t="s">
        <v>239</v>
      </c>
      <c r="E23" s="2" t="s">
        <v>235</v>
      </c>
      <c r="F23" t="s">
        <v>775</v>
      </c>
      <c r="G23" t="s">
        <v>776</v>
      </c>
      <c r="H23" s="108"/>
      <c r="J23" s="142">
        <v>1</v>
      </c>
      <c r="K23" t="s">
        <v>91</v>
      </c>
      <c r="L23" s="138">
        <v>0.34027777777777773</v>
      </c>
      <c r="M23" s="138">
        <v>0.70833333333333337</v>
      </c>
      <c r="N23" s="138">
        <f>M23-L23</f>
        <v>0.36805555555555564</v>
      </c>
      <c r="O23" s="108" t="s">
        <v>294</v>
      </c>
      <c r="Q23" s="114"/>
      <c r="R23" s="30"/>
      <c r="S23" s="157"/>
      <c r="U23" s="231">
        <f>U21-U22</f>
        <v>1.52</v>
      </c>
    </row>
    <row r="24" spans="1:22" x14ac:dyDescent="0.2">
      <c r="A24" s="273">
        <v>0.1076388888888889</v>
      </c>
      <c r="B24" s="11">
        <v>66</v>
      </c>
      <c r="C24" s="238">
        <f>B24*E22/A24</f>
        <v>25.548387096774192</v>
      </c>
      <c r="D24" s="5">
        <v>80</v>
      </c>
      <c r="E24" s="2">
        <f>B24/D24*E22</f>
        <v>3.4374999999999996E-2</v>
      </c>
      <c r="F24" s="11">
        <v>20</v>
      </c>
      <c r="G24" s="2">
        <f>(A24*F24)/B24</f>
        <v>3.2617845117845115E-2</v>
      </c>
      <c r="H24" s="108"/>
      <c r="J24" s="142">
        <v>2</v>
      </c>
      <c r="K24" t="s">
        <v>94</v>
      </c>
      <c r="L24" s="138">
        <v>0.30902777777777779</v>
      </c>
      <c r="M24" s="138">
        <v>0.74652777777777779</v>
      </c>
      <c r="N24" s="138">
        <f t="shared" ref="N24:N34" si="0">M24-L24</f>
        <v>0.4375</v>
      </c>
      <c r="O24" s="108" t="s">
        <v>294</v>
      </c>
      <c r="Q24" s="158">
        <f ca="1">TODAY()</f>
        <v>44968</v>
      </c>
      <c r="R24" s="159">
        <v>40350</v>
      </c>
      <c r="S24" s="160">
        <f ca="1">R24+(R24-Q24)</f>
        <v>35732</v>
      </c>
    </row>
    <row r="25" spans="1:22" ht="15.75" x14ac:dyDescent="0.25">
      <c r="A25" s="273">
        <v>0.19583333333333333</v>
      </c>
      <c r="B25" s="11">
        <v>501</v>
      </c>
      <c r="C25" s="238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42">
        <v>3</v>
      </c>
      <c r="K25" t="s">
        <v>95</v>
      </c>
      <c r="L25" s="138">
        <v>0.2673611111111111</v>
      </c>
      <c r="M25" s="138">
        <v>0.77777777777777779</v>
      </c>
      <c r="N25" s="138">
        <f t="shared" si="0"/>
        <v>0.51041666666666674</v>
      </c>
      <c r="O25" s="108" t="s">
        <v>294</v>
      </c>
      <c r="U25" s="256" t="s">
        <v>602</v>
      </c>
    </row>
    <row r="26" spans="1:22" ht="15.75" x14ac:dyDescent="0.25">
      <c r="A26" s="273">
        <v>0.28819444444444448</v>
      </c>
      <c r="B26" s="11">
        <v>526</v>
      </c>
      <c r="C26" s="238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42">
        <v>4</v>
      </c>
      <c r="K26" t="s">
        <v>96</v>
      </c>
      <c r="L26" s="138">
        <v>0.2638888888888889</v>
      </c>
      <c r="M26" s="138">
        <v>0.85416666666666663</v>
      </c>
      <c r="N26" s="138">
        <f t="shared" si="0"/>
        <v>0.59027777777777768</v>
      </c>
      <c r="O26" s="108" t="s">
        <v>295</v>
      </c>
      <c r="Q26" s="340" t="s">
        <v>532</v>
      </c>
      <c r="R26" s="341"/>
      <c r="S26" s="342"/>
      <c r="U26" s="260">
        <v>12</v>
      </c>
    </row>
    <row r="27" spans="1:22" x14ac:dyDescent="0.2">
      <c r="A27" s="274">
        <v>2.8472222222222222E-2</v>
      </c>
      <c r="B27" s="145">
        <v>20</v>
      </c>
      <c r="C27" s="240">
        <f>B27*E22/A27</f>
        <v>29.268292682926827</v>
      </c>
      <c r="D27" s="121">
        <v>80</v>
      </c>
      <c r="E27" s="120">
        <f>B27/D27*E22</f>
        <v>1.0416666666666666E-2</v>
      </c>
      <c r="F27" s="145">
        <v>0</v>
      </c>
      <c r="G27" s="2">
        <f t="shared" si="1"/>
        <v>0</v>
      </c>
      <c r="H27" s="117"/>
      <c r="J27" s="142">
        <v>5</v>
      </c>
      <c r="K27" t="s">
        <v>97</v>
      </c>
      <c r="L27" s="138">
        <v>0.22916666666666666</v>
      </c>
      <c r="M27" s="138">
        <v>0.88541666666666663</v>
      </c>
      <c r="N27" s="138">
        <f t="shared" si="0"/>
        <v>0.65625</v>
      </c>
      <c r="O27" s="108" t="s">
        <v>295</v>
      </c>
      <c r="Q27" s="162" t="s">
        <v>238</v>
      </c>
      <c r="R27" s="113" t="s">
        <v>2</v>
      </c>
      <c r="S27" s="206" t="s">
        <v>528</v>
      </c>
      <c r="U27" s="260">
        <v>12.3</v>
      </c>
    </row>
    <row r="28" spans="1:22" ht="15" x14ac:dyDescent="0.25">
      <c r="A28" s="235" t="s">
        <v>234</v>
      </c>
      <c r="B28" s="239" t="s">
        <v>237</v>
      </c>
      <c r="C28" s="242" t="s">
        <v>0</v>
      </c>
      <c r="D28" s="237"/>
      <c r="E28" s="236" t="s">
        <v>0</v>
      </c>
      <c r="F28" s="229" t="s">
        <v>237</v>
      </c>
      <c r="G28" s="229" t="s">
        <v>234</v>
      </c>
      <c r="H28" s="230"/>
      <c r="J28" s="142">
        <v>6</v>
      </c>
      <c r="K28" t="s">
        <v>98</v>
      </c>
      <c r="L28" s="138">
        <v>0.21875</v>
      </c>
      <c r="M28" s="138">
        <v>0.90277777777777779</v>
      </c>
      <c r="N28" s="138">
        <f t="shared" si="0"/>
        <v>0.68402777777777779</v>
      </c>
      <c r="O28" s="108" t="s">
        <v>295</v>
      </c>
      <c r="Q28" s="225">
        <v>3.4</v>
      </c>
      <c r="R28" s="226">
        <v>230</v>
      </c>
      <c r="S28" s="227">
        <f>R28/(Q28*1000)</f>
        <v>6.7647058823529407E-2</v>
      </c>
      <c r="U28" s="231">
        <f>(U26+U27)/2</f>
        <v>12.15</v>
      </c>
    </row>
    <row r="29" spans="1:22" x14ac:dyDescent="0.2">
      <c r="A29" s="131">
        <v>50.4</v>
      </c>
      <c r="B29" s="238">
        <v>23</v>
      </c>
      <c r="C29" s="241">
        <f>(A29/B29)*E22</f>
        <v>9.1304347826086943E-2</v>
      </c>
      <c r="D29" s="5"/>
      <c r="E29" s="2">
        <v>0.15277777777777776</v>
      </c>
      <c r="F29" s="12">
        <v>11.5</v>
      </c>
      <c r="G29" s="11">
        <v>42</v>
      </c>
      <c r="H29" s="108"/>
      <c r="J29" s="142">
        <v>7</v>
      </c>
      <c r="K29" t="s">
        <v>99</v>
      </c>
      <c r="L29" s="138">
        <v>0.23611111111111113</v>
      </c>
      <c r="M29" s="138">
        <v>0.89236111111111116</v>
      </c>
      <c r="N29" s="138">
        <f t="shared" si="0"/>
        <v>0.65625</v>
      </c>
      <c r="O29" s="108" t="s">
        <v>295</v>
      </c>
      <c r="Q29" s="222">
        <v>14.7</v>
      </c>
      <c r="R29" s="24" t="s">
        <v>531</v>
      </c>
      <c r="S29" s="223">
        <v>7.2999999999999995E-2</v>
      </c>
    </row>
    <row r="30" spans="1:22" ht="15.75" x14ac:dyDescent="0.25">
      <c r="A30" s="132">
        <v>25.6</v>
      </c>
      <c r="B30" s="240">
        <v>12</v>
      </c>
      <c r="C30" s="243">
        <f>(A30/B30)*E22</f>
        <v>8.8888888888888878E-2</v>
      </c>
      <c r="D30" s="116"/>
      <c r="E30" s="120">
        <v>0.125</v>
      </c>
      <c r="F30" s="119">
        <v>6</v>
      </c>
      <c r="G30" s="145">
        <f>F30*E30/E22</f>
        <v>18</v>
      </c>
      <c r="H30" s="117"/>
      <c r="J30" s="142">
        <v>8</v>
      </c>
      <c r="K30" t="s">
        <v>100</v>
      </c>
      <c r="L30" s="138">
        <v>0.2673611111111111</v>
      </c>
      <c r="M30" s="138">
        <v>0.85416666666666663</v>
      </c>
      <c r="N30" s="138">
        <f t="shared" si="0"/>
        <v>0.58680555555555558</v>
      </c>
      <c r="O30" s="108" t="s">
        <v>295</v>
      </c>
      <c r="Q30" s="222">
        <v>12</v>
      </c>
      <c r="R30" s="24">
        <v>1</v>
      </c>
      <c r="S30" s="223">
        <v>6.7000000000000004E-2</v>
      </c>
      <c r="U30" s="256" t="s">
        <v>640</v>
      </c>
    </row>
    <row r="31" spans="1:22" ht="15" x14ac:dyDescent="0.25">
      <c r="A31" s="11"/>
      <c r="B31" s="12"/>
      <c r="C31" s="2"/>
      <c r="J31" s="142">
        <v>9</v>
      </c>
      <c r="K31" t="s">
        <v>101</v>
      </c>
      <c r="L31" s="138">
        <v>0.2986111111111111</v>
      </c>
      <c r="M31" s="138">
        <v>0.80902777777777779</v>
      </c>
      <c r="N31" s="138">
        <f t="shared" si="0"/>
        <v>0.51041666666666674</v>
      </c>
      <c r="O31" s="108" t="s">
        <v>295</v>
      </c>
      <c r="Q31" s="222">
        <v>9.1999999999999993</v>
      </c>
      <c r="R31" s="24">
        <v>2</v>
      </c>
      <c r="S31" s="223">
        <v>5.2999999999999999E-2</v>
      </c>
      <c r="U31" s="326">
        <v>44892</v>
      </c>
      <c r="V31" s="155" t="s">
        <v>939</v>
      </c>
    </row>
    <row r="32" spans="1:22" ht="15.75" x14ac:dyDescent="0.25">
      <c r="A32" s="340" t="s">
        <v>533</v>
      </c>
      <c r="B32" s="341"/>
      <c r="C32" s="341"/>
      <c r="D32" s="341"/>
      <c r="E32" s="341"/>
      <c r="F32" s="341"/>
      <c r="G32" s="341"/>
      <c r="H32" s="342"/>
      <c r="J32" s="142">
        <v>10</v>
      </c>
      <c r="K32" t="s">
        <v>102</v>
      </c>
      <c r="L32" s="138">
        <v>0.3298611111111111</v>
      </c>
      <c r="M32" s="138">
        <v>0.76388888888888884</v>
      </c>
      <c r="N32" s="138">
        <f t="shared" si="0"/>
        <v>0.43402777777777773</v>
      </c>
      <c r="O32" s="108" t="s">
        <v>295</v>
      </c>
      <c r="Q32" s="222">
        <v>3.2</v>
      </c>
      <c r="R32" s="24">
        <v>3</v>
      </c>
      <c r="S32" s="223">
        <v>5.0999999999999997E-2</v>
      </c>
      <c r="U32" s="327">
        <v>45011</v>
      </c>
      <c r="V32" s="328">
        <f>DATE(YEAR(U32),MONTH(U32)+8,DAY(U32))</f>
        <v>45256</v>
      </c>
    </row>
    <row r="33" spans="1:21" x14ac:dyDescent="0.2">
      <c r="A33" s="162" t="s">
        <v>0</v>
      </c>
      <c r="B33" s="343">
        <f>(F33/'09'!C39)*'09'!D39</f>
        <v>8.1527777777777768</v>
      </c>
      <c r="C33" s="343"/>
      <c r="D33" s="343"/>
      <c r="E33" s="113" t="s">
        <v>238</v>
      </c>
      <c r="F33" s="244">
        <f>'09'!AV35+'10'!AV35+'11'!AV35+'12'!AV35+'13'!AV35+'14'!AV35+'15'!AV35+'16'!AV35+'17'!AV35+'18'!AV35</f>
        <v>4696</v>
      </c>
      <c r="G33" s="57" t="s">
        <v>237</v>
      </c>
      <c r="H33" s="245">
        <f>'09'!C39</f>
        <v>24</v>
      </c>
      <c r="J33" s="142">
        <v>11</v>
      </c>
      <c r="K33" t="s">
        <v>103</v>
      </c>
      <c r="L33" s="138">
        <v>0.3263888888888889</v>
      </c>
      <c r="M33" s="138">
        <v>0.69097222222222221</v>
      </c>
      <c r="N33" s="138">
        <f t="shared" si="0"/>
        <v>0.36458333333333331</v>
      </c>
      <c r="O33" s="108" t="s">
        <v>294</v>
      </c>
      <c r="Q33" s="222">
        <v>1</v>
      </c>
      <c r="R33" s="24">
        <v>4</v>
      </c>
      <c r="S33" s="223">
        <v>4.2000000000000003E-2</v>
      </c>
      <c r="U33" s="316"/>
    </row>
    <row r="34" spans="1:21" ht="15.75" x14ac:dyDescent="0.25">
      <c r="A34" s="246" t="s">
        <v>576</v>
      </c>
      <c r="B34" s="247"/>
      <c r="C34" s="247"/>
      <c r="D34" s="247">
        <v>886</v>
      </c>
      <c r="E34" s="248" t="s">
        <v>238</v>
      </c>
      <c r="F34" s="248" t="s">
        <v>575</v>
      </c>
      <c r="G34" s="249">
        <f>F33/D34</f>
        <v>5.3002257336343117</v>
      </c>
      <c r="H34" s="250" t="s">
        <v>574</v>
      </c>
      <c r="J34" s="143">
        <v>12</v>
      </c>
      <c r="K34" s="116" t="s">
        <v>104</v>
      </c>
      <c r="L34" s="139">
        <v>0.34722222222222227</v>
      </c>
      <c r="M34" s="139">
        <v>0.68402777777777779</v>
      </c>
      <c r="N34" s="139">
        <f t="shared" si="0"/>
        <v>0.33680555555555552</v>
      </c>
      <c r="O34" s="117" t="s">
        <v>294</v>
      </c>
      <c r="Q34" s="337"/>
      <c r="R34" s="338"/>
      <c r="S34" s="339"/>
      <c r="U34" s="256" t="s">
        <v>813</v>
      </c>
    </row>
    <row r="35" spans="1:21" x14ac:dyDescent="0.2">
      <c r="U35" s="260">
        <v>0.5</v>
      </c>
    </row>
    <row r="36" spans="1:21" ht="15.75" x14ac:dyDescent="0.25">
      <c r="A36" s="340" t="s">
        <v>741</v>
      </c>
      <c r="B36" s="341"/>
      <c r="C36" s="341"/>
      <c r="D36" s="341"/>
      <c r="E36" s="341"/>
      <c r="F36" s="341"/>
      <c r="G36" s="341"/>
      <c r="H36" s="342"/>
      <c r="J36" s="340" t="s">
        <v>835</v>
      </c>
      <c r="K36" s="341"/>
      <c r="L36" s="341"/>
      <c r="M36" s="342"/>
      <c r="U36" s="260">
        <v>10</v>
      </c>
    </row>
    <row r="37" spans="1:21" ht="15" x14ac:dyDescent="0.25">
      <c r="A37" s="162" t="s">
        <v>740</v>
      </c>
      <c r="G37">
        <v>29.530588999999999</v>
      </c>
      <c r="H37" s="206" t="s">
        <v>742</v>
      </c>
      <c r="J37" s="100" t="s">
        <v>238</v>
      </c>
      <c r="K37" s="113" t="s">
        <v>833</v>
      </c>
      <c r="L37" s="113" t="s">
        <v>834</v>
      </c>
      <c r="M37" s="206" t="s">
        <v>22</v>
      </c>
      <c r="U37" s="317">
        <v>18.100000000000001</v>
      </c>
    </row>
    <row r="38" spans="1:21" x14ac:dyDescent="0.2">
      <c r="A38" s="100"/>
      <c r="H38" s="108"/>
      <c r="J38" s="131">
        <v>1.5</v>
      </c>
      <c r="K38" s="5">
        <v>1171</v>
      </c>
      <c r="L38" s="5">
        <v>1380</v>
      </c>
      <c r="M38" s="223">
        <f>IFERROR((L38-K38)/(J38*1000),0)</f>
        <v>0.13933333333333334</v>
      </c>
      <c r="U38" s="260">
        <f>(U37/U36)*U35</f>
        <v>0.90500000000000003</v>
      </c>
    </row>
    <row r="39" spans="1:21" ht="15" x14ac:dyDescent="0.25">
      <c r="A39" s="100"/>
      <c r="H39" s="108"/>
      <c r="J39" s="131">
        <v>1.6</v>
      </c>
      <c r="K39" s="5">
        <v>1035</v>
      </c>
      <c r="L39" s="5">
        <v>1129</v>
      </c>
      <c r="M39" s="223">
        <f t="shared" ref="M39:M40" si="2">IFERROR((L39-K39)/(J39*1000),0)</f>
        <v>5.8749999999999997E-2</v>
      </c>
      <c r="U39" s="318">
        <f>U37+U38</f>
        <v>19.005000000000003</v>
      </c>
    </row>
    <row r="40" spans="1:21" x14ac:dyDescent="0.2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4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L23:L34">
    <cfRule type="expression" dxfId="898" priority="67">
      <formula>J23=MONTH(NOW())</formula>
    </cfRule>
  </conditionalFormatting>
  <conditionalFormatting sqref="M23:M34">
    <cfRule type="expression" dxfId="897" priority="66">
      <formula>J23=MONTH(NOW())</formula>
    </cfRule>
  </conditionalFormatting>
  <conditionalFormatting sqref="N23:N34">
    <cfRule type="cellIs" dxfId="896" priority="35" operator="greaterThan">
      <formula>0.5</formula>
    </cfRule>
    <cfRule type="expression" dxfId="895" priority="36">
      <formula>J23=MONTH(NOW())</formula>
    </cfRule>
  </conditionalFormatting>
  <conditionalFormatting sqref="Q14:S14">
    <cfRule type="expression" dxfId="894" priority="29">
      <formula>AND($S$14&gt;=$S$13,$S$13&lt;50000)</formula>
    </cfRule>
  </conditionalFormatting>
  <conditionalFormatting sqref="Q15:S15">
    <cfRule type="expression" dxfId="893" priority="28">
      <formula>AND($S$15&gt;=$S$13,$S$13&lt;80000)</formula>
    </cfRule>
  </conditionalFormatting>
  <conditionalFormatting sqref="Q16:S16">
    <cfRule type="expression" dxfId="892" priority="27">
      <formula>AND($S$15&lt;$S$13,$S$16&gt;=$S$13)</formula>
    </cfRule>
  </conditionalFormatting>
  <conditionalFormatting sqref="Q17:S17">
    <cfRule type="expression" dxfId="891" priority="26">
      <formula>AND($S$16&lt;$S$13,$S$18&lt;$S$13)</formula>
    </cfRule>
  </conditionalFormatting>
  <conditionalFormatting sqref="Q18:S18">
    <cfRule type="expression" dxfId="890" priority="24">
      <formula>AND($S$17&lt;$S$13,10000000&gt;$S$13)</formula>
    </cfRule>
  </conditionalFormatting>
  <conditionalFormatting sqref="Q19:S19">
    <cfRule type="expression" dxfId="889" priority="23">
      <formula>$S$13&gt;=10000000</formula>
    </cfRule>
  </conditionalFormatting>
  <conditionalFormatting sqref="S12">
    <cfRule type="cellIs" dxfId="888" priority="20" stopIfTrue="1" operator="between">
      <formula>0</formula>
      <formula>0.999999</formula>
    </cfRule>
    <cfRule type="cellIs" dxfId="887" priority="21" stopIfTrue="1" operator="between">
      <formula>1</formula>
      <formula>1.999999</formula>
    </cfRule>
    <cfRule type="cellIs" dxfId="886" priority="22" stopIfTrue="1" operator="between">
      <formula>2</formula>
      <formula>9999.99</formula>
    </cfRule>
  </conditionalFormatting>
  <conditionalFormatting sqref="F4">
    <cfRule type="expression" dxfId="885" priority="9">
      <formula>AND(MONTH(NOW())&gt;3,MONTH(NOW())&lt;11)</formula>
    </cfRule>
  </conditionalFormatting>
  <conditionalFormatting sqref="D4">
    <cfRule type="expression" dxfId="884" priority="8">
      <formula>"ODER(MONAT(JETZT())&lt;4;MONAT(JETZT())&gt;10)"</formula>
    </cfRule>
  </conditionalFormatting>
  <conditionalFormatting sqref="U33">
    <cfRule type="expression" dxfId="883" priority="2">
      <formula>#REF!&lt; TODAY()</formula>
    </cfRule>
  </conditionalFormatting>
  <conditionalFormatting sqref="A13 E4">
    <cfRule type="expression" dxfId="882" priority="661">
      <formula>AND($U$31&lt;=NOW(),$U$32&gt;=NOW())</formula>
    </cfRule>
  </conditionalFormatting>
  <conditionalFormatting sqref="A14 G4">
    <cfRule type="expression" dxfId="881" priority="663">
      <formula>NOT(AND($U$31&lt;=NOW(),$U$32&gt;=NOW()))</formula>
    </cfRule>
  </conditionalFormatting>
  <conditionalFormatting sqref="V32">
    <cfRule type="cellIs" dxfId="88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56" customFormat="1" ht="18" x14ac:dyDescent="0.25">
      <c r="A1" s="348" t="s">
        <v>238</v>
      </c>
      <c r="B1" s="348"/>
      <c r="C1" s="349">
        <f>AI35</f>
        <v>7508.340000000002</v>
      </c>
      <c r="D1" s="349"/>
      <c r="E1" s="354" t="s">
        <v>152</v>
      </c>
      <c r="F1" s="354"/>
      <c r="G1" s="355">
        <f>MAX(B37,E37,H37,K37,N37,Q37,T37,W37,Z37,AC37,AF37,AI37)</f>
        <v>207</v>
      </c>
      <c r="H1" s="355"/>
      <c r="I1" s="358" t="s">
        <v>159</v>
      </c>
      <c r="J1" s="358"/>
      <c r="K1" s="359">
        <f>MAX(B34,E34,H34,K34,N34,Q34,T34,W34,Z34,AC34,AF34,AI34)</f>
        <v>1014.3200000000002</v>
      </c>
      <c r="L1" s="359"/>
      <c r="M1" s="363" t="s">
        <v>190</v>
      </c>
      <c r="N1" s="363"/>
      <c r="O1" s="364">
        <f>MIN(B34,E34,H34,K34,N34,Q34,T34,W34,Z34,AC34,AF34,AI34)</f>
        <v>319.42</v>
      </c>
      <c r="P1" s="364"/>
      <c r="Q1" s="362" t="s">
        <v>329</v>
      </c>
      <c r="R1" s="362"/>
      <c r="S1" s="362"/>
      <c r="T1" s="362"/>
      <c r="U1" s="365" t="s">
        <v>190</v>
      </c>
      <c r="V1" s="365"/>
      <c r="W1" s="366">
        <f>MIN(C34,F34,I34,L34,O34,R34,U34,X34,AA34,AD34,AG34,AJ34)</f>
        <v>717</v>
      </c>
      <c r="X1" s="365"/>
      <c r="Y1" s="361" t="s">
        <v>159</v>
      </c>
      <c r="Z1" s="361"/>
      <c r="AA1" s="360">
        <f>MAX(C34,F34,I34,L34,O34,R34,U34,X34,AA34,AD34,AG34,AJ34)</f>
        <v>11209</v>
      </c>
      <c r="AB1" s="361"/>
      <c r="AC1" s="356" t="s">
        <v>153</v>
      </c>
      <c r="AD1" s="356"/>
      <c r="AE1" s="357">
        <f>MAX(C37,F37,I37,L37,O37,R37,U37,X37,AA37,AD37,AG37,AJ37)</f>
        <v>1750</v>
      </c>
      <c r="AF1" s="356"/>
      <c r="AG1" s="350" t="s">
        <v>2</v>
      </c>
      <c r="AH1" s="350"/>
      <c r="AI1" s="353">
        <f>AJ35</f>
        <v>70300</v>
      </c>
      <c r="AJ1" s="350"/>
      <c r="AK1" s="90"/>
    </row>
    <row r="2" spans="1:37" s="53" customFormat="1" ht="11.25" x14ac:dyDescent="0.2">
      <c r="A2" s="58" t="s">
        <v>91</v>
      </c>
      <c r="B2" s="44" t="s">
        <v>238</v>
      </c>
      <c r="C2" s="44" t="s">
        <v>2</v>
      </c>
      <c r="D2" s="64" t="s">
        <v>94</v>
      </c>
      <c r="E2" s="44" t="s">
        <v>238</v>
      </c>
      <c r="F2" s="44" t="s">
        <v>2</v>
      </c>
      <c r="G2" s="64" t="s">
        <v>95</v>
      </c>
      <c r="H2" s="44" t="s">
        <v>238</v>
      </c>
      <c r="I2" s="44" t="s">
        <v>2</v>
      </c>
      <c r="J2" s="64" t="s">
        <v>96</v>
      </c>
      <c r="K2" s="44" t="s">
        <v>238</v>
      </c>
      <c r="L2" s="44" t="s">
        <v>2</v>
      </c>
      <c r="M2" s="64" t="s">
        <v>97</v>
      </c>
      <c r="N2" s="44" t="s">
        <v>238</v>
      </c>
      <c r="O2" s="44" t="s">
        <v>2</v>
      </c>
      <c r="P2" s="64" t="s">
        <v>98</v>
      </c>
      <c r="Q2" s="44" t="s">
        <v>238</v>
      </c>
      <c r="R2" s="44" t="s">
        <v>2</v>
      </c>
      <c r="S2" s="64" t="s">
        <v>99</v>
      </c>
      <c r="T2" s="44" t="s">
        <v>238</v>
      </c>
      <c r="U2" s="44" t="s">
        <v>2</v>
      </c>
      <c r="V2" s="64" t="s">
        <v>100</v>
      </c>
      <c r="W2" s="44" t="s">
        <v>238</v>
      </c>
      <c r="X2" s="44" t="s">
        <v>2</v>
      </c>
      <c r="Y2" s="64" t="s">
        <v>101</v>
      </c>
      <c r="Z2" s="44" t="s">
        <v>238</v>
      </c>
      <c r="AA2" s="44" t="s">
        <v>2</v>
      </c>
      <c r="AB2" s="64" t="s">
        <v>102</v>
      </c>
      <c r="AC2" s="44" t="s">
        <v>238</v>
      </c>
      <c r="AD2" s="44" t="s">
        <v>2</v>
      </c>
      <c r="AE2" s="64" t="s">
        <v>103</v>
      </c>
      <c r="AF2" s="44" t="s">
        <v>238</v>
      </c>
      <c r="AG2" s="44" t="s">
        <v>2</v>
      </c>
      <c r="AH2" s="64" t="s">
        <v>104</v>
      </c>
      <c r="AI2" s="44" t="s">
        <v>238</v>
      </c>
      <c r="AJ2" s="44" t="s">
        <v>2</v>
      </c>
      <c r="AK2" s="91"/>
    </row>
    <row r="3" spans="1:37" s="49" customFormat="1" ht="11.25" x14ac:dyDescent="0.2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1.25" x14ac:dyDescent="0.2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1.25" x14ac:dyDescent="0.2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1.25" x14ac:dyDescent="0.2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1.25" x14ac:dyDescent="0.2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1.25" x14ac:dyDescent="0.2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1.25" x14ac:dyDescent="0.2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1.25" x14ac:dyDescent="0.2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1.25" x14ac:dyDescent="0.2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1.25" x14ac:dyDescent="0.2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1.25" x14ac:dyDescent="0.2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1.25" x14ac:dyDescent="0.2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1.25" x14ac:dyDescent="0.2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1.25" x14ac:dyDescent="0.2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1.25" x14ac:dyDescent="0.2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1.25" x14ac:dyDescent="0.2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1.25" x14ac:dyDescent="0.2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1.25" x14ac:dyDescent="0.2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1.25" x14ac:dyDescent="0.2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1.25" x14ac:dyDescent="0.2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1.25" x14ac:dyDescent="0.2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1.25" x14ac:dyDescent="0.2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1.25" x14ac:dyDescent="0.2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1.25" x14ac:dyDescent="0.2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1.25" x14ac:dyDescent="0.2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1.25" x14ac:dyDescent="0.2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1.25" x14ac:dyDescent="0.2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1.25" x14ac:dyDescent="0.2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1.25" x14ac:dyDescent="0.2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1.25" x14ac:dyDescent="0.2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1.25" x14ac:dyDescent="0.2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1.25" x14ac:dyDescent="0.2">
      <c r="A34" s="45" t="s">
        <v>92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1.25" x14ac:dyDescent="0.2">
      <c r="A35" s="46" t="s">
        <v>93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2">
      <c r="A36" s="45" t="s">
        <v>154</v>
      </c>
      <c r="D36" s="162"/>
      <c r="G36" s="162"/>
      <c r="H36" s="47">
        <f>SUM(B34,E34,H34)</f>
        <v>1199.19</v>
      </c>
      <c r="I36" s="48">
        <f>SUM(C34,F34,I34)</f>
        <v>8095</v>
      </c>
      <c r="J36" s="162"/>
      <c r="M36" s="162"/>
      <c r="P36" s="162"/>
      <c r="Q36" s="47">
        <f>SUM(K34,N34,Q34)</f>
        <v>2607.92</v>
      </c>
      <c r="R36" s="48">
        <f>SUM(L34,O34,R34)</f>
        <v>24803</v>
      </c>
      <c r="S36" s="162"/>
      <c r="V36" s="162"/>
      <c r="Y36" s="162"/>
      <c r="Z36" s="47">
        <f>SUM(T34,W34,Z34)</f>
        <v>2157.0700000000002</v>
      </c>
      <c r="AA36" s="48">
        <f>SUM(U34,X34,AA34)</f>
        <v>24129</v>
      </c>
      <c r="AB36" s="162"/>
      <c r="AE36" s="162"/>
      <c r="AH36" s="162"/>
      <c r="AI36" s="47">
        <f>SUM(AC34,AF34,AI34)</f>
        <v>1544.16</v>
      </c>
      <c r="AJ36" s="48">
        <f>SUM(AD34,AG34,AJ34)</f>
        <v>13273</v>
      </c>
      <c r="AK36" s="162"/>
    </row>
    <row r="37" spans="1:37" s="49" customFormat="1" ht="11.25" x14ac:dyDescent="0.2">
      <c r="A37" s="49" t="s">
        <v>149</v>
      </c>
      <c r="B37" s="54">
        <f>MAX(B3:B33)</f>
        <v>63.72</v>
      </c>
      <c r="C37" s="314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5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4">
        <f>MAX(AJ3:AJ33)</f>
        <v>1260</v>
      </c>
      <c r="AK37" s="67"/>
    </row>
    <row r="38" spans="1:37" s="49" customFormat="1" ht="11.25" x14ac:dyDescent="0.2">
      <c r="A38" s="49" t="s">
        <v>343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1.25" x14ac:dyDescent="0.2">
      <c r="A39" s="94" t="s">
        <v>221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2">
      <c r="A40" s="52" t="s">
        <v>214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51" t="s">
        <v>232</v>
      </c>
      <c r="E40" s="352"/>
      <c r="F40" s="93">
        <f>AI1/(C1*10)</f>
        <v>0.93629217643313944</v>
      </c>
      <c r="G40" s="92"/>
      <c r="J40" s="67"/>
      <c r="K40" s="49"/>
      <c r="L40" s="49"/>
      <c r="M40" s="45" t="s">
        <v>598</v>
      </c>
      <c r="N40" s="257">
        <v>40</v>
      </c>
      <c r="O40" s="49"/>
      <c r="P40" s="49"/>
      <c r="Q40" s="49"/>
      <c r="R40" s="49"/>
      <c r="S40" s="67"/>
      <c r="AB40" s="67" t="s">
        <v>479</v>
      </c>
      <c r="AC40" s="47">
        <f>MAX(B34,E34,H34,K34,N34,Q34,T34,W34,Z34,AC34,AF34,AI34)</f>
        <v>1014.3200000000002</v>
      </c>
      <c r="AD40" s="212">
        <f>MAX(C34,F34,I34,L34,O34,R34,U34,X34,AA34,AD34,AG34,AJ34)</f>
        <v>11209</v>
      </c>
      <c r="AK40" s="67"/>
    </row>
    <row r="41" spans="1:37" x14ac:dyDescent="0.2">
      <c r="A41" s="52" t="s">
        <v>215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599</v>
      </c>
      <c r="N41" s="258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4 E34 H34 K34 N34 Q34 T34 W34 Z34 AC34 AF34 AI34">
    <cfRule type="cellIs" dxfId="879" priority="81" operator="equal">
      <formula>$O$1</formula>
    </cfRule>
    <cfRule type="cellIs" dxfId="878" priority="105" operator="equal">
      <formula>$K$1</formula>
    </cfRule>
  </conditionalFormatting>
  <conditionalFormatting sqref="C34 F34 I34 L34 O34 R34 U34 X34 AA34 AD34 AG34 AJ34">
    <cfRule type="cellIs" dxfId="877" priority="57" operator="equal">
      <formula>$W$1</formula>
    </cfRule>
    <cfRule type="cellIs" dxfId="876" priority="58" operator="equal">
      <formula>$AA$1</formula>
    </cfRule>
  </conditionalFormatting>
  <conditionalFormatting sqref="B3:B33 E3:E33 H3:H33 K3:K33 N3:N33 Q3:Q33 T3:T33 W3:W33 Z3:Z33 AC3:AC33 AF3:AF33 AI3:AI33">
    <cfRule type="cellIs" dxfId="875" priority="232" stopIfTrue="1" operator="lessThan">
      <formula>50</formula>
    </cfRule>
    <cfRule type="cellIs" dxfId="874" priority="233" stopIfTrue="1" operator="greaterThanOrEqual">
      <formula>100</formula>
    </cfRule>
    <cfRule type="cellIs" dxfId="873" priority="234" operator="greaterThanOrEqual">
      <formula>50</formula>
    </cfRule>
  </conditionalFormatting>
  <conditionalFormatting sqref="C3:C33 F3:F33 I3:I33 L3:L33 O3:O33 R3:R33 U3:U33 X3:X33 AA3:AA33 AD3:AD33 AG3:AG33 AJ3:AJ33">
    <cfRule type="cellIs" dxfId="872" priority="190" stopIfTrue="1" operator="between">
      <formula>0</formula>
      <formula>749.99</formula>
    </cfRule>
    <cfRule type="cellIs" dxfId="871" priority="191" stopIfTrue="1" operator="greaterThanOrEqual">
      <formula>1500</formula>
    </cfRule>
    <cfRule type="cellIs" dxfId="870" priority="192" operator="greaterThanOrEqual">
      <formula>750</formula>
    </cfRule>
  </conditionalFormatting>
  <conditionalFormatting sqref="AD40">
    <cfRule type="cellIs" dxfId="869" priority="4" stopIfTrue="1" operator="lessThan">
      <formula>10000</formula>
    </cfRule>
    <cfRule type="cellIs" dxfId="868" priority="5" stopIfTrue="1" operator="lessThan">
      <formula>13000</formula>
    </cfRule>
    <cfRule type="cellIs" dxfId="867" priority="6" stopIfTrue="1" operator="lessThan">
      <formula>99999</formula>
    </cfRule>
  </conditionalFormatting>
  <conditionalFormatting sqref="AC40">
    <cfRule type="cellIs" dxfId="866" priority="1" stopIfTrue="1" operator="lessThan">
      <formula>1000</formula>
    </cfRule>
    <cfRule type="cellIs" dxfId="865" priority="2" stopIfTrue="1" operator="lessThan">
      <formula>1100</formula>
    </cfRule>
    <cfRule type="cellIs" dxfId="864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7358.33</v>
      </c>
      <c r="C1" s="382"/>
      <c r="D1" s="83" t="s">
        <v>238</v>
      </c>
      <c r="E1" s="383">
        <f>AT35</f>
        <v>6748.33</v>
      </c>
      <c r="F1" s="383"/>
      <c r="G1" s="384" t="s">
        <v>152</v>
      </c>
      <c r="H1" s="384"/>
      <c r="I1" s="380">
        <f>MAX(B36,F36,J36,N36,R36,V36,Z36,AD36,AH36,AL36,AP36,AT36)</f>
        <v>131.44</v>
      </c>
      <c r="J1" s="380"/>
      <c r="K1" s="385" t="s">
        <v>159</v>
      </c>
      <c r="L1" s="385"/>
      <c r="M1" s="386">
        <f>MAX(B34,F34,J34,N34,R34,V34,Z34,AD34,AH34,AL34,AP34,AT34)</f>
        <v>875.8599999999999</v>
      </c>
      <c r="N1" s="386"/>
      <c r="O1" s="379" t="s">
        <v>190</v>
      </c>
      <c r="P1" s="379"/>
      <c r="Q1" s="379"/>
      <c r="R1" s="149">
        <f>MIN(B34,F34,J34,N34,R34,V34,Z34,AD34,AH34,AL34,AP34,AT34)</f>
        <v>268.27000000000004</v>
      </c>
      <c r="S1" s="84" t="s">
        <v>207</v>
      </c>
      <c r="T1" s="372">
        <f>IFERROR(AVERAGE(B37,F37,J37,N37,R37,V37,Z37,AD37,AH37,AL37,AP37,AT37),0)</f>
        <v>28.737098655776773</v>
      </c>
      <c r="U1" s="372"/>
      <c r="V1" s="373" t="s">
        <v>206</v>
      </c>
      <c r="W1" s="373"/>
      <c r="X1" s="373"/>
      <c r="Y1" s="373"/>
      <c r="Z1" s="373"/>
      <c r="AA1" s="85" t="s">
        <v>207</v>
      </c>
      <c r="AB1" s="381">
        <f>IFERROR(AVERAGE(C37,G37,K37,O37,S37,W37,AA37,AE37,AI37,AM37,AQ37,AU37),0)</f>
        <v>285.10348601962454</v>
      </c>
      <c r="AC1" s="381"/>
      <c r="AD1" s="371" t="s">
        <v>190</v>
      </c>
      <c r="AE1" s="371"/>
      <c r="AF1" s="374">
        <f>MIN(C34,G34,K34,O34,S34,W34,AA34,AE34,AI34,AM34,AQ34,AU34)</f>
        <v>1216</v>
      </c>
      <c r="AG1" s="374"/>
      <c r="AH1" s="375" t="s">
        <v>159</v>
      </c>
      <c r="AI1" s="375"/>
      <c r="AJ1" s="376">
        <f>MAX(C34,G34,K34,O34,S34,W34,AA34,AE34,AI34,AM34,AQ34,AU34)</f>
        <v>9324</v>
      </c>
      <c r="AK1" s="376"/>
      <c r="AL1" s="378" t="s">
        <v>153</v>
      </c>
      <c r="AM1" s="378"/>
      <c r="AN1" s="377">
        <f>MAX(C36,G36,K36,O36,S36,W36,AA36,AE36,AI36,AM36,AQ36,AU36)</f>
        <v>1860</v>
      </c>
      <c r="AO1" s="377"/>
      <c r="AP1" s="367" t="s">
        <v>361</v>
      </c>
      <c r="AQ1" s="367"/>
      <c r="AR1" s="368">
        <f>MAX(D36,H36,L36,P36,T36,X36,AB36,AF36,AJ36,AN36,AR36,AV36)</f>
        <v>0.125</v>
      </c>
      <c r="AS1" s="368"/>
      <c r="AT1" s="81" t="s">
        <v>2</v>
      </c>
      <c r="AU1" s="369">
        <f>AU35</f>
        <v>67456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11.96</v>
      </c>
      <c r="C3" s="55">
        <v>30</v>
      </c>
      <c r="D3" s="150"/>
      <c r="E3" s="75">
        <v>1</v>
      </c>
      <c r="F3" s="54">
        <v>29.51</v>
      </c>
      <c r="G3" s="55">
        <v>375</v>
      </c>
      <c r="H3" s="150"/>
      <c r="I3" s="75">
        <v>1</v>
      </c>
      <c r="J3" s="54">
        <v>71.22</v>
      </c>
      <c r="K3" s="55">
        <v>820</v>
      </c>
      <c r="L3" s="150"/>
      <c r="M3" s="75">
        <v>1</v>
      </c>
      <c r="N3" s="54">
        <v>50.84</v>
      </c>
      <c r="O3" s="55">
        <v>27</v>
      </c>
      <c r="P3" s="150"/>
      <c r="Q3" s="75">
        <v>1</v>
      </c>
      <c r="R3" s="54">
        <v>21.63</v>
      </c>
      <c r="S3" s="55">
        <v>471</v>
      </c>
      <c r="T3" s="150"/>
      <c r="U3" s="75">
        <v>1</v>
      </c>
      <c r="V3" s="54"/>
      <c r="W3" s="55"/>
      <c r="X3" s="150"/>
      <c r="Y3" s="75">
        <v>1</v>
      </c>
      <c r="Z3" s="54">
        <v>79.33</v>
      </c>
      <c r="AA3" s="55">
        <v>130</v>
      </c>
      <c r="AB3" s="150"/>
      <c r="AC3" s="75">
        <v>1</v>
      </c>
      <c r="AD3" s="54">
        <v>30.09</v>
      </c>
      <c r="AE3" s="55">
        <v>589</v>
      </c>
      <c r="AF3" s="150"/>
      <c r="AG3" s="75">
        <v>1</v>
      </c>
      <c r="AH3" s="54"/>
      <c r="AI3" s="55"/>
      <c r="AJ3" s="150"/>
      <c r="AK3" s="75">
        <v>1</v>
      </c>
      <c r="AL3" s="54"/>
      <c r="AM3" s="55"/>
      <c r="AN3" s="150"/>
      <c r="AO3" s="75">
        <v>1</v>
      </c>
      <c r="AP3" s="54">
        <v>38.4</v>
      </c>
      <c r="AQ3" s="55">
        <v>990</v>
      </c>
      <c r="AR3" s="150"/>
      <c r="AS3" s="75">
        <v>1</v>
      </c>
      <c r="AT3" s="54">
        <v>12.87</v>
      </c>
      <c r="AU3" s="55">
        <v>10</v>
      </c>
      <c r="AV3" s="150"/>
      <c r="AW3" s="67"/>
    </row>
    <row r="4" spans="1:49" s="49" customFormat="1" ht="11.25" x14ac:dyDescent="0.2">
      <c r="A4" s="73">
        <f>A3+1</f>
        <v>2</v>
      </c>
      <c r="B4" s="54">
        <v>12.7</v>
      </c>
      <c r="C4" s="55">
        <v>40</v>
      </c>
      <c r="D4" s="150"/>
      <c r="E4" s="75">
        <f>E3+1</f>
        <v>2</v>
      </c>
      <c r="F4" s="54"/>
      <c r="G4" s="55"/>
      <c r="H4" s="150"/>
      <c r="I4" s="75">
        <f>I3+1</f>
        <v>2</v>
      </c>
      <c r="J4" s="54"/>
      <c r="K4" s="55"/>
      <c r="L4" s="150"/>
      <c r="M4" s="75">
        <f>M3+1</f>
        <v>2</v>
      </c>
      <c r="N4" s="54">
        <v>19.579999999999998</v>
      </c>
      <c r="O4" s="55">
        <v>210</v>
      </c>
      <c r="P4" s="150"/>
      <c r="Q4" s="75">
        <f>Q3+1</f>
        <v>2</v>
      </c>
      <c r="R4" s="54">
        <v>31.71</v>
      </c>
      <c r="S4" s="55">
        <v>487</v>
      </c>
      <c r="T4" s="150"/>
      <c r="U4" s="75">
        <f>U3+1</f>
        <v>2</v>
      </c>
      <c r="V4" s="54">
        <v>24.68</v>
      </c>
      <c r="W4" s="55">
        <v>212</v>
      </c>
      <c r="X4" s="150"/>
      <c r="Y4" s="75">
        <f>Y3+1</f>
        <v>2</v>
      </c>
      <c r="Z4" s="54">
        <v>16.850000000000001</v>
      </c>
      <c r="AA4" s="55">
        <v>536</v>
      </c>
      <c r="AB4" s="150"/>
      <c r="AC4" s="75">
        <f>AC3+1</f>
        <v>2</v>
      </c>
      <c r="AD4" s="54">
        <v>6.59</v>
      </c>
      <c r="AE4" s="55">
        <v>5</v>
      </c>
      <c r="AF4" s="150"/>
      <c r="AG4" s="75">
        <f>AG3+1</f>
        <v>2</v>
      </c>
      <c r="AH4" s="54">
        <v>32.659999999999997</v>
      </c>
      <c r="AI4" s="55">
        <v>720</v>
      </c>
      <c r="AJ4" s="150"/>
      <c r="AK4" s="75">
        <f>AK3+1</f>
        <v>2</v>
      </c>
      <c r="AL4" s="54">
        <v>100.03</v>
      </c>
      <c r="AM4" s="55">
        <v>100</v>
      </c>
      <c r="AN4" s="150"/>
      <c r="AO4" s="75">
        <f>AO3+1</f>
        <v>2</v>
      </c>
      <c r="AP4" s="54">
        <v>60.6</v>
      </c>
      <c r="AQ4" s="55">
        <v>1490</v>
      </c>
      <c r="AR4" s="150"/>
      <c r="AS4" s="75">
        <f>AS3+1</f>
        <v>2</v>
      </c>
      <c r="AT4" s="54">
        <v>17.47</v>
      </c>
      <c r="AU4" s="55">
        <v>10</v>
      </c>
      <c r="AV4" s="150"/>
      <c r="AW4" s="67"/>
    </row>
    <row r="5" spans="1:49" s="49" customFormat="1" ht="11.25" x14ac:dyDescent="0.2">
      <c r="A5" s="73">
        <f t="shared" ref="A5:A33" si="0">A4+1</f>
        <v>3</v>
      </c>
      <c r="B5" s="54">
        <v>48.34</v>
      </c>
      <c r="C5" s="55">
        <v>496</v>
      </c>
      <c r="D5" s="150"/>
      <c r="E5" s="75">
        <f t="shared" ref="E5:E30" si="1">E4+1</f>
        <v>3</v>
      </c>
      <c r="F5" s="54">
        <v>14.15</v>
      </c>
      <c r="G5" s="55">
        <v>146</v>
      </c>
      <c r="H5" s="150"/>
      <c r="I5" s="75">
        <f t="shared" ref="I5:I33" si="2">I4+1</f>
        <v>3</v>
      </c>
      <c r="J5" s="54">
        <v>20.399999999999999</v>
      </c>
      <c r="K5" s="55">
        <v>60</v>
      </c>
      <c r="L5" s="150"/>
      <c r="M5" s="75">
        <f t="shared" ref="M5:M32" si="3">M4+1</f>
        <v>3</v>
      </c>
      <c r="N5" s="54">
        <v>22.2</v>
      </c>
      <c r="O5" s="55">
        <v>175</v>
      </c>
      <c r="P5" s="150"/>
      <c r="Q5" s="75">
        <f t="shared" ref="Q5:Q33" si="4">Q4+1</f>
        <v>3</v>
      </c>
      <c r="R5" s="54">
        <v>131.44</v>
      </c>
      <c r="S5" s="55">
        <v>173</v>
      </c>
      <c r="T5" s="150"/>
      <c r="U5" s="75">
        <f t="shared" ref="U5:U32" si="5">U4+1</f>
        <v>3</v>
      </c>
      <c r="V5" s="54">
        <v>34.119999999999997</v>
      </c>
      <c r="W5" s="55">
        <v>513</v>
      </c>
      <c r="X5" s="150"/>
      <c r="Y5" s="75">
        <f t="shared" ref="Y5:Y33" si="6">Y4+1</f>
        <v>3</v>
      </c>
      <c r="Z5" s="54">
        <v>85.14</v>
      </c>
      <c r="AA5" s="55">
        <v>1100</v>
      </c>
      <c r="AB5" s="150"/>
      <c r="AC5" s="75">
        <f t="shared" ref="AC5:AC33" si="7">AC4+1</f>
        <v>3</v>
      </c>
      <c r="AD5" s="54">
        <v>17.93</v>
      </c>
      <c r="AE5" s="55">
        <v>200</v>
      </c>
      <c r="AF5" s="150"/>
      <c r="AG5" s="75">
        <f t="shared" ref="AG5:AG32" si="8">AG4+1</f>
        <v>3</v>
      </c>
      <c r="AH5" s="54"/>
      <c r="AI5" s="55"/>
      <c r="AJ5" s="150"/>
      <c r="AK5" s="75">
        <f t="shared" ref="AK5:AK33" si="9">AK4+1</f>
        <v>3</v>
      </c>
      <c r="AL5" s="54"/>
      <c r="AM5" s="55"/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/>
      <c r="G6" s="55"/>
      <c r="H6" s="150">
        <v>4.1666666666666664E-2</v>
      </c>
      <c r="I6" s="75">
        <f t="shared" si="2"/>
        <v>4</v>
      </c>
      <c r="J6" s="54">
        <v>21.89</v>
      </c>
      <c r="K6" s="55">
        <v>15</v>
      </c>
      <c r="L6" s="150"/>
      <c r="M6" s="75">
        <f t="shared" si="3"/>
        <v>4</v>
      </c>
      <c r="N6" s="54">
        <v>71.540000000000006</v>
      </c>
      <c r="O6" s="55">
        <v>616</v>
      </c>
      <c r="P6" s="150"/>
      <c r="Q6" s="75">
        <f t="shared" si="4"/>
        <v>4</v>
      </c>
      <c r="R6" s="54"/>
      <c r="S6" s="55"/>
      <c r="T6" s="150"/>
      <c r="U6" s="75">
        <f t="shared" si="5"/>
        <v>4</v>
      </c>
      <c r="V6" s="54">
        <v>25.68</v>
      </c>
      <c r="W6" s="55">
        <v>15</v>
      </c>
      <c r="X6" s="150"/>
      <c r="Y6" s="75">
        <f t="shared" si="6"/>
        <v>4</v>
      </c>
      <c r="Z6" s="54"/>
      <c r="AA6" s="55"/>
      <c r="AB6" s="150"/>
      <c r="AC6" s="75">
        <f t="shared" si="7"/>
        <v>4</v>
      </c>
      <c r="AD6" s="54">
        <v>20.87</v>
      </c>
      <c r="AE6" s="55">
        <v>100</v>
      </c>
      <c r="AF6" s="150"/>
      <c r="AG6" s="75">
        <f t="shared" si="8"/>
        <v>4</v>
      </c>
      <c r="AH6" s="54"/>
      <c r="AI6" s="55"/>
      <c r="AJ6" s="150"/>
      <c r="AK6" s="75">
        <f t="shared" si="9"/>
        <v>4</v>
      </c>
      <c r="AL6" s="54">
        <v>16.399999999999999</v>
      </c>
      <c r="AM6" s="55">
        <v>65</v>
      </c>
      <c r="AN6" s="150"/>
      <c r="AO6" s="75">
        <f t="shared" si="10"/>
        <v>4</v>
      </c>
      <c r="AP6" s="54"/>
      <c r="AQ6" s="55"/>
      <c r="AR6" s="150"/>
      <c r="AS6" s="75">
        <f t="shared" si="11"/>
        <v>4</v>
      </c>
      <c r="AT6" s="54">
        <v>20.170000000000002</v>
      </c>
      <c r="AU6" s="55">
        <v>20</v>
      </c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/>
      <c r="G7" s="55"/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50.55</v>
      </c>
      <c r="O7" s="55">
        <v>1006</v>
      </c>
      <c r="P7" s="150"/>
      <c r="Q7" s="75">
        <f t="shared" si="4"/>
        <v>5</v>
      </c>
      <c r="R7" s="54">
        <v>12.42</v>
      </c>
      <c r="S7" s="55">
        <v>33</v>
      </c>
      <c r="T7" s="150"/>
      <c r="U7" s="75">
        <f t="shared" si="5"/>
        <v>5</v>
      </c>
      <c r="V7" s="54">
        <v>29.05</v>
      </c>
      <c r="W7" s="55">
        <v>190</v>
      </c>
      <c r="X7" s="150"/>
      <c r="Y7" s="75">
        <f t="shared" si="6"/>
        <v>5</v>
      </c>
      <c r="Z7" s="54">
        <v>115</v>
      </c>
      <c r="AA7" s="55">
        <v>1241</v>
      </c>
      <c r="AB7" s="150"/>
      <c r="AC7" s="75">
        <f t="shared" si="7"/>
        <v>5</v>
      </c>
      <c r="AD7" s="54">
        <v>16.850000000000001</v>
      </c>
      <c r="AE7" s="55">
        <v>536</v>
      </c>
      <c r="AF7" s="150"/>
      <c r="AG7" s="75">
        <f t="shared" si="8"/>
        <v>5</v>
      </c>
      <c r="AH7" s="54">
        <v>42.06</v>
      </c>
      <c r="AI7" s="55">
        <v>915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/>
      <c r="AU7" s="55"/>
      <c r="AV7" s="150"/>
      <c r="AW7" s="67"/>
    </row>
    <row r="8" spans="1:49" s="49" customFormat="1" ht="11.25" x14ac:dyDescent="0.2">
      <c r="A8" s="73">
        <f t="shared" si="0"/>
        <v>6</v>
      </c>
      <c r="B8" s="54">
        <v>15.6</v>
      </c>
      <c r="C8" s="55">
        <v>40</v>
      </c>
      <c r="D8" s="150">
        <v>4.1666666666666664E-2</v>
      </c>
      <c r="E8" s="75">
        <f t="shared" si="1"/>
        <v>6</v>
      </c>
      <c r="F8" s="54">
        <v>16.91</v>
      </c>
      <c r="G8" s="55">
        <v>125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20.149999999999999</v>
      </c>
      <c r="O8" s="55">
        <v>10</v>
      </c>
      <c r="P8" s="150"/>
      <c r="Q8" s="75">
        <f t="shared" si="4"/>
        <v>6</v>
      </c>
      <c r="R8" s="54"/>
      <c r="S8" s="55"/>
      <c r="T8" s="150"/>
      <c r="U8" s="75">
        <f t="shared" si="5"/>
        <v>6</v>
      </c>
      <c r="V8" s="54">
        <v>32.99</v>
      </c>
      <c r="W8" s="55">
        <v>190</v>
      </c>
      <c r="X8" s="150"/>
      <c r="Y8" s="75">
        <f t="shared" si="6"/>
        <v>6</v>
      </c>
      <c r="Z8" s="54">
        <v>35.979999999999997</v>
      </c>
      <c r="AA8" s="55">
        <v>75</v>
      </c>
      <c r="AB8" s="150"/>
      <c r="AC8" s="75">
        <f t="shared" si="7"/>
        <v>6</v>
      </c>
      <c r="AD8" s="54">
        <v>8.56</v>
      </c>
      <c r="AE8" s="55">
        <v>30</v>
      </c>
      <c r="AF8" s="150"/>
      <c r="AG8" s="75">
        <f t="shared" si="8"/>
        <v>6</v>
      </c>
      <c r="AH8" s="54">
        <v>10.91</v>
      </c>
      <c r="AI8" s="55">
        <v>5</v>
      </c>
      <c r="AJ8" s="150"/>
      <c r="AK8" s="75">
        <f t="shared" si="9"/>
        <v>6</v>
      </c>
      <c r="AL8" s="54"/>
      <c r="AM8" s="55"/>
      <c r="AN8" s="150"/>
      <c r="AO8" s="75">
        <f t="shared" si="10"/>
        <v>6</v>
      </c>
      <c r="AP8" s="54">
        <v>10</v>
      </c>
      <c r="AQ8" s="55">
        <v>2</v>
      </c>
      <c r="AR8" s="150"/>
      <c r="AS8" s="75">
        <f t="shared" si="11"/>
        <v>6</v>
      </c>
      <c r="AT8" s="54">
        <v>13.91</v>
      </c>
      <c r="AU8" s="55">
        <v>10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/>
      <c r="G9" s="55"/>
      <c r="H9" s="150"/>
      <c r="I9" s="75">
        <f t="shared" si="2"/>
        <v>7</v>
      </c>
      <c r="J9" s="54">
        <v>58.76</v>
      </c>
      <c r="K9" s="55">
        <v>295</v>
      </c>
      <c r="L9" s="150"/>
      <c r="M9" s="75">
        <f t="shared" si="3"/>
        <v>7</v>
      </c>
      <c r="N9" s="54">
        <v>11.53</v>
      </c>
      <c r="O9" s="55">
        <v>91</v>
      </c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>
        <v>38.58</v>
      </c>
      <c r="W9" s="55">
        <v>100</v>
      </c>
      <c r="X9" s="150"/>
      <c r="Y9" s="75">
        <f t="shared" si="6"/>
        <v>7</v>
      </c>
      <c r="Z9" s="54"/>
      <c r="AA9" s="55"/>
      <c r="AB9" s="150"/>
      <c r="AC9" s="75">
        <f t="shared" si="7"/>
        <v>7</v>
      </c>
      <c r="AD9" s="54"/>
      <c r="AE9" s="55"/>
      <c r="AF9" s="150"/>
      <c r="AG9" s="75">
        <f t="shared" si="8"/>
        <v>7</v>
      </c>
      <c r="AH9" s="54">
        <v>22.4</v>
      </c>
      <c r="AI9" s="55">
        <v>145</v>
      </c>
      <c r="AJ9" s="150"/>
      <c r="AK9" s="75">
        <f t="shared" si="9"/>
        <v>7</v>
      </c>
      <c r="AL9" s="54">
        <v>18.11</v>
      </c>
      <c r="AM9" s="55">
        <v>203</v>
      </c>
      <c r="AN9" s="150"/>
      <c r="AO9" s="75">
        <f t="shared" si="10"/>
        <v>7</v>
      </c>
      <c r="AP9" s="54">
        <v>13.78</v>
      </c>
      <c r="AQ9" s="55">
        <v>10</v>
      </c>
      <c r="AR9" s="150"/>
      <c r="AS9" s="75">
        <f t="shared" si="11"/>
        <v>7</v>
      </c>
      <c r="AT9" s="54"/>
      <c r="AU9" s="55"/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13.19</v>
      </c>
      <c r="G10" s="55">
        <v>5</v>
      </c>
      <c r="H10" s="150"/>
      <c r="I10" s="75">
        <f t="shared" si="2"/>
        <v>8</v>
      </c>
      <c r="J10" s="54"/>
      <c r="K10" s="55"/>
      <c r="L10" s="150">
        <v>3.125E-2</v>
      </c>
      <c r="M10" s="75">
        <f t="shared" si="3"/>
        <v>8</v>
      </c>
      <c r="N10" s="54">
        <v>24.26</v>
      </c>
      <c r="O10" s="55">
        <v>182</v>
      </c>
      <c r="P10" s="150"/>
      <c r="Q10" s="75">
        <f t="shared" si="4"/>
        <v>8</v>
      </c>
      <c r="R10" s="54">
        <v>20.95</v>
      </c>
      <c r="S10" s="55">
        <v>400</v>
      </c>
      <c r="T10" s="150"/>
      <c r="U10" s="75">
        <f t="shared" si="5"/>
        <v>8</v>
      </c>
      <c r="V10" s="54">
        <v>16.850000000000001</v>
      </c>
      <c r="W10" s="55">
        <v>536</v>
      </c>
      <c r="X10" s="150"/>
      <c r="Y10" s="75">
        <f t="shared" si="6"/>
        <v>8</v>
      </c>
      <c r="Z10" s="54"/>
      <c r="AA10" s="55"/>
      <c r="AB10" s="150">
        <v>4.1666666666666664E-2</v>
      </c>
      <c r="AC10" s="75">
        <f t="shared" si="7"/>
        <v>8</v>
      </c>
      <c r="AD10" s="54">
        <v>111.31</v>
      </c>
      <c r="AE10" s="55">
        <v>1450</v>
      </c>
      <c r="AF10" s="150"/>
      <c r="AG10" s="75">
        <f t="shared" si="8"/>
        <v>8</v>
      </c>
      <c r="AH10" s="49">
        <v>17.13</v>
      </c>
      <c r="AI10" s="49">
        <v>369</v>
      </c>
      <c r="AJ10" s="150"/>
      <c r="AK10" s="75">
        <f t="shared" si="9"/>
        <v>8</v>
      </c>
      <c r="AL10" s="54"/>
      <c r="AM10" s="55"/>
      <c r="AN10" s="150"/>
      <c r="AO10" s="75">
        <f t="shared" si="10"/>
        <v>8</v>
      </c>
      <c r="AP10" s="54"/>
      <c r="AQ10" s="55"/>
      <c r="AR10" s="150"/>
      <c r="AS10" s="75">
        <f t="shared" si="11"/>
        <v>8</v>
      </c>
      <c r="AT10" s="54">
        <v>17.98</v>
      </c>
      <c r="AU10" s="55">
        <v>10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10.37</v>
      </c>
      <c r="C11" s="55">
        <v>25</v>
      </c>
      <c r="D11" s="150"/>
      <c r="E11" s="75">
        <f t="shared" si="1"/>
        <v>9</v>
      </c>
      <c r="F11" s="54">
        <v>13.57</v>
      </c>
      <c r="G11" s="55">
        <v>140</v>
      </c>
      <c r="H11" s="150">
        <v>4.1666666666666664E-2</v>
      </c>
      <c r="I11" s="75">
        <f t="shared" si="2"/>
        <v>9</v>
      </c>
      <c r="J11" s="54"/>
      <c r="K11" s="55"/>
      <c r="L11" s="150">
        <v>4.8611111111111112E-2</v>
      </c>
      <c r="M11" s="75">
        <f t="shared" si="3"/>
        <v>9</v>
      </c>
      <c r="N11" s="54">
        <v>24.68</v>
      </c>
      <c r="O11" s="55">
        <v>212</v>
      </c>
      <c r="P11" s="150"/>
      <c r="Q11" s="75">
        <f t="shared" si="4"/>
        <v>9</v>
      </c>
      <c r="R11" s="54">
        <v>48.37</v>
      </c>
      <c r="S11" s="55">
        <v>410</v>
      </c>
      <c r="T11" s="150"/>
      <c r="U11" s="75">
        <f t="shared" si="5"/>
        <v>9</v>
      </c>
      <c r="V11" s="54">
        <v>24.91</v>
      </c>
      <c r="W11" s="55">
        <v>358</v>
      </c>
      <c r="X11" s="150"/>
      <c r="Y11" s="75">
        <f t="shared" si="6"/>
        <v>9</v>
      </c>
      <c r="Z11" s="54">
        <v>19.88</v>
      </c>
      <c r="AA11" s="55">
        <v>278</v>
      </c>
      <c r="AB11" s="150"/>
      <c r="AC11" s="75">
        <f t="shared" si="7"/>
        <v>9</v>
      </c>
      <c r="AD11" s="54">
        <v>11.4</v>
      </c>
      <c r="AE11" s="55">
        <v>35</v>
      </c>
      <c r="AF11" s="150"/>
      <c r="AG11" s="75">
        <f t="shared" si="8"/>
        <v>9</v>
      </c>
      <c r="AH11" s="54">
        <v>20.09</v>
      </c>
      <c r="AI11" s="55">
        <v>432</v>
      </c>
      <c r="AJ11" s="150"/>
      <c r="AK11" s="75">
        <f t="shared" si="9"/>
        <v>9</v>
      </c>
      <c r="AL11" s="54">
        <v>17.79</v>
      </c>
      <c r="AM11" s="55">
        <v>147</v>
      </c>
      <c r="AN11" s="150"/>
      <c r="AO11" s="75">
        <f t="shared" si="10"/>
        <v>9</v>
      </c>
      <c r="AP11" s="54"/>
      <c r="AQ11" s="55"/>
      <c r="AR11" s="150"/>
      <c r="AS11" s="75">
        <f t="shared" si="11"/>
        <v>9</v>
      </c>
      <c r="AT11" s="54">
        <v>12.23</v>
      </c>
      <c r="AU11" s="55">
        <v>312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15.6</v>
      </c>
      <c r="C12" s="55">
        <v>40</v>
      </c>
      <c r="D12" s="150">
        <v>4.1666666666666664E-2</v>
      </c>
      <c r="E12" s="75">
        <f t="shared" si="1"/>
        <v>10</v>
      </c>
      <c r="F12" s="54"/>
      <c r="G12" s="55"/>
      <c r="H12" s="150">
        <v>4.1666666666666664E-2</v>
      </c>
      <c r="I12" s="75">
        <f t="shared" si="2"/>
        <v>10</v>
      </c>
      <c r="J12" s="54"/>
      <c r="K12" s="55"/>
      <c r="L12" s="150"/>
      <c r="M12" s="75">
        <f t="shared" si="3"/>
        <v>10</v>
      </c>
      <c r="N12" s="54">
        <v>35.520000000000003</v>
      </c>
      <c r="O12" s="55">
        <v>547</v>
      </c>
      <c r="P12" s="150"/>
      <c r="Q12" s="75">
        <f t="shared" si="4"/>
        <v>10</v>
      </c>
      <c r="R12" s="54">
        <v>67.239999999999995</v>
      </c>
      <c r="S12" s="55">
        <v>680</v>
      </c>
      <c r="T12" s="150"/>
      <c r="U12" s="75">
        <f t="shared" si="5"/>
        <v>10</v>
      </c>
      <c r="V12" s="54">
        <v>40.130000000000003</v>
      </c>
      <c r="W12" s="55">
        <v>80</v>
      </c>
      <c r="X12" s="150"/>
      <c r="Y12" s="75">
        <f t="shared" si="6"/>
        <v>10</v>
      </c>
      <c r="Z12" s="54">
        <v>91.5</v>
      </c>
      <c r="AA12" s="55">
        <v>1090</v>
      </c>
      <c r="AB12" s="150"/>
      <c r="AC12" s="75">
        <f t="shared" si="7"/>
        <v>10</v>
      </c>
      <c r="AD12" s="54">
        <v>16</v>
      </c>
      <c r="AE12" s="55">
        <v>60</v>
      </c>
      <c r="AF12" s="150"/>
      <c r="AG12" s="75">
        <f t="shared" si="8"/>
        <v>10</v>
      </c>
      <c r="AJ12" s="150"/>
      <c r="AK12" s="75">
        <f t="shared" si="9"/>
        <v>10</v>
      </c>
      <c r="AL12" s="54"/>
      <c r="AM12" s="55"/>
      <c r="AN12" s="150"/>
      <c r="AO12" s="75">
        <f t="shared" si="10"/>
        <v>10</v>
      </c>
      <c r="AP12" s="54"/>
      <c r="AQ12" s="55"/>
      <c r="AR12" s="150"/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>
        <v>15.6</v>
      </c>
      <c r="C13" s="55">
        <v>40</v>
      </c>
      <c r="D13" s="150">
        <v>4.1666666666666664E-2</v>
      </c>
      <c r="E13" s="75">
        <f t="shared" si="1"/>
        <v>11</v>
      </c>
      <c r="F13" s="54">
        <v>10.52</v>
      </c>
      <c r="G13" s="55">
        <v>60</v>
      </c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36.6</v>
      </c>
      <c r="O13" s="55">
        <v>778</v>
      </c>
      <c r="P13" s="150"/>
      <c r="Q13" s="75">
        <f t="shared" si="4"/>
        <v>11</v>
      </c>
      <c r="R13" s="54"/>
      <c r="S13" s="55"/>
      <c r="T13" s="150"/>
      <c r="U13" s="75">
        <f t="shared" si="5"/>
        <v>11</v>
      </c>
      <c r="V13" s="54"/>
      <c r="W13" s="55"/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20.6</v>
      </c>
      <c r="AE13" s="55">
        <v>85</v>
      </c>
      <c r="AF13" s="150"/>
      <c r="AG13" s="75">
        <f t="shared" si="8"/>
        <v>11</v>
      </c>
      <c r="AH13" s="54">
        <v>17.18</v>
      </c>
      <c r="AI13" s="55">
        <v>369</v>
      </c>
      <c r="AJ13" s="150"/>
      <c r="AK13" s="75">
        <f t="shared" si="9"/>
        <v>11</v>
      </c>
      <c r="AL13" s="54">
        <v>20.07</v>
      </c>
      <c r="AM13" s="55">
        <v>30</v>
      </c>
      <c r="AN13" s="150"/>
      <c r="AO13" s="75">
        <f t="shared" si="10"/>
        <v>11</v>
      </c>
      <c r="AP13" s="54">
        <v>15.82</v>
      </c>
      <c r="AQ13" s="55">
        <v>15</v>
      </c>
      <c r="AR13" s="150"/>
      <c r="AS13" s="75">
        <f t="shared" si="11"/>
        <v>11</v>
      </c>
      <c r="AT13" s="54">
        <v>20.78</v>
      </c>
      <c r="AU13" s="55">
        <v>40</v>
      </c>
      <c r="AV13" s="150"/>
      <c r="AW13" s="67"/>
    </row>
    <row r="14" spans="1:49" s="49" customFormat="1" ht="11.25" x14ac:dyDescent="0.2">
      <c r="A14" s="73">
        <f t="shared" si="0"/>
        <v>12</v>
      </c>
      <c r="B14" s="54">
        <v>10.5</v>
      </c>
      <c r="C14" s="55">
        <v>21</v>
      </c>
      <c r="D14" s="150"/>
      <c r="E14" s="75">
        <f t="shared" si="1"/>
        <v>12</v>
      </c>
      <c r="F14" s="54"/>
      <c r="G14" s="55"/>
      <c r="H14" s="150">
        <v>3.125E-2</v>
      </c>
      <c r="I14" s="75">
        <f t="shared" si="2"/>
        <v>12</v>
      </c>
      <c r="J14" s="54"/>
      <c r="K14" s="55"/>
      <c r="L14" s="150">
        <v>4.1666666666666664E-2</v>
      </c>
      <c r="M14" s="75">
        <f t="shared" si="3"/>
        <v>12</v>
      </c>
      <c r="N14" s="54">
        <v>27.35</v>
      </c>
      <c r="O14" s="55">
        <v>463</v>
      </c>
      <c r="P14" s="150"/>
      <c r="Q14" s="75">
        <f t="shared" si="4"/>
        <v>12</v>
      </c>
      <c r="R14" s="54">
        <v>39.33</v>
      </c>
      <c r="S14" s="55">
        <v>25</v>
      </c>
      <c r="T14" s="150"/>
      <c r="U14" s="75">
        <f t="shared" si="5"/>
        <v>12</v>
      </c>
      <c r="V14" s="54">
        <v>58.74</v>
      </c>
      <c r="W14" s="55">
        <v>715</v>
      </c>
      <c r="X14" s="150"/>
      <c r="Y14" s="75">
        <f t="shared" si="6"/>
        <v>12</v>
      </c>
      <c r="Z14" s="54">
        <v>7.37</v>
      </c>
      <c r="AA14" s="55">
        <v>0</v>
      </c>
      <c r="AB14" s="150"/>
      <c r="AC14" s="75">
        <f t="shared" si="7"/>
        <v>12</v>
      </c>
      <c r="AD14" s="54">
        <v>19.21</v>
      </c>
      <c r="AE14" s="55">
        <v>135</v>
      </c>
      <c r="AF14" s="150"/>
      <c r="AG14" s="75">
        <f t="shared" si="8"/>
        <v>12</v>
      </c>
      <c r="AH14" s="54">
        <v>44.76</v>
      </c>
      <c r="AI14" s="55">
        <v>795</v>
      </c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/>
      <c r="AQ14" s="55"/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10.61</v>
      </c>
      <c r="G15" s="55">
        <v>15</v>
      </c>
      <c r="H15" s="150">
        <v>4.1666666666666664E-2</v>
      </c>
      <c r="I15" s="75">
        <f t="shared" si="2"/>
        <v>13</v>
      </c>
      <c r="J15" s="54">
        <v>22.95</v>
      </c>
      <c r="K15" s="55">
        <v>160</v>
      </c>
      <c r="L15" s="150">
        <v>4.1666666666666664E-2</v>
      </c>
      <c r="M15" s="75">
        <f t="shared" si="3"/>
        <v>13</v>
      </c>
      <c r="N15" s="54">
        <v>46.37</v>
      </c>
      <c r="O15" s="55">
        <v>425</v>
      </c>
      <c r="P15" s="150"/>
      <c r="Q15" s="75">
        <f t="shared" si="4"/>
        <v>13</v>
      </c>
      <c r="R15" s="54">
        <v>12.92</v>
      </c>
      <c r="S15" s="55">
        <v>20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16.850000000000001</v>
      </c>
      <c r="AA15" s="55">
        <v>536</v>
      </c>
      <c r="AB15" s="150"/>
      <c r="AC15" s="75">
        <f t="shared" si="7"/>
        <v>13</v>
      </c>
      <c r="AD15" s="54">
        <v>17.739999999999998</v>
      </c>
      <c r="AE15" s="55">
        <v>91</v>
      </c>
      <c r="AF15" s="150"/>
      <c r="AG15" s="75">
        <f t="shared" si="8"/>
        <v>13</v>
      </c>
      <c r="AH15" s="54">
        <v>29.8</v>
      </c>
      <c r="AI15" s="55">
        <v>140</v>
      </c>
      <c r="AJ15" s="150"/>
      <c r="AK15" s="75">
        <f t="shared" si="9"/>
        <v>13</v>
      </c>
      <c r="AL15" s="54"/>
      <c r="AM15" s="55"/>
      <c r="AN15" s="150">
        <v>4.1666666666666664E-2</v>
      </c>
      <c r="AO15" s="75">
        <f t="shared" si="10"/>
        <v>13</v>
      </c>
      <c r="AP15" s="54">
        <v>19.22</v>
      </c>
      <c r="AQ15" s="55">
        <v>20</v>
      </c>
      <c r="AR15" s="150"/>
      <c r="AS15" s="75">
        <f t="shared" si="11"/>
        <v>13</v>
      </c>
      <c r="AT15" s="54">
        <v>23.08</v>
      </c>
      <c r="AU15" s="55">
        <v>44</v>
      </c>
      <c r="AV15" s="150">
        <v>2.0833333333333332E-2</v>
      </c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11.95</v>
      </c>
      <c r="G16" s="55">
        <v>315</v>
      </c>
      <c r="H16" s="150"/>
      <c r="I16" s="75">
        <f t="shared" si="2"/>
        <v>14</v>
      </c>
      <c r="J16" s="54">
        <v>23</v>
      </c>
      <c r="K16" s="55">
        <v>280</v>
      </c>
      <c r="L16" s="150"/>
      <c r="M16" s="75">
        <f t="shared" si="3"/>
        <v>14</v>
      </c>
      <c r="N16" s="54">
        <v>14.51</v>
      </c>
      <c r="O16" s="55">
        <v>10</v>
      </c>
      <c r="P16" s="150"/>
      <c r="Q16" s="75">
        <f t="shared" si="4"/>
        <v>14</v>
      </c>
      <c r="T16" s="150"/>
      <c r="U16" s="75">
        <f t="shared" si="5"/>
        <v>14</v>
      </c>
      <c r="V16" s="54">
        <v>124</v>
      </c>
      <c r="W16" s="55">
        <v>1445</v>
      </c>
      <c r="X16" s="150"/>
      <c r="Y16" s="75">
        <f t="shared" si="6"/>
        <v>14</v>
      </c>
      <c r="Z16" s="54">
        <v>12.94</v>
      </c>
      <c r="AA16" s="55">
        <v>40</v>
      </c>
      <c r="AB16" s="150"/>
      <c r="AC16" s="75">
        <f t="shared" si="7"/>
        <v>14</v>
      </c>
      <c r="AD16" s="54">
        <v>7.1</v>
      </c>
      <c r="AE16" s="55">
        <v>5</v>
      </c>
      <c r="AF16" s="150"/>
      <c r="AG16" s="75">
        <f t="shared" si="8"/>
        <v>14</v>
      </c>
      <c r="AH16" s="54"/>
      <c r="AI16" s="55"/>
      <c r="AJ16" s="150"/>
      <c r="AK16" s="75">
        <f t="shared" si="9"/>
        <v>14</v>
      </c>
      <c r="AL16" s="54"/>
      <c r="AM16" s="55"/>
      <c r="AN16" s="150"/>
      <c r="AO16" s="75">
        <f t="shared" si="10"/>
        <v>14</v>
      </c>
      <c r="AP16" s="54">
        <v>17.21</v>
      </c>
      <c r="AQ16" s="55">
        <v>10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10.119999999999999</v>
      </c>
      <c r="C17" s="55">
        <v>90</v>
      </c>
      <c r="D17" s="150"/>
      <c r="E17" s="75">
        <f t="shared" si="1"/>
        <v>15</v>
      </c>
      <c r="F17" s="54">
        <v>23.9</v>
      </c>
      <c r="G17" s="55">
        <v>630</v>
      </c>
      <c r="H17" s="150"/>
      <c r="I17" s="75">
        <f t="shared" si="2"/>
        <v>15</v>
      </c>
      <c r="J17" s="54">
        <v>29</v>
      </c>
      <c r="K17" s="55">
        <v>90</v>
      </c>
      <c r="L17" s="150"/>
      <c r="M17" s="75">
        <f t="shared" si="3"/>
        <v>15</v>
      </c>
      <c r="N17" s="54"/>
      <c r="O17" s="55"/>
      <c r="P17" s="150"/>
      <c r="Q17" s="75">
        <f t="shared" si="4"/>
        <v>15</v>
      </c>
      <c r="T17" s="150"/>
      <c r="U17" s="75">
        <f t="shared" si="5"/>
        <v>15</v>
      </c>
      <c r="V17" s="54"/>
      <c r="W17" s="55"/>
      <c r="X17" s="150"/>
      <c r="Y17" s="75">
        <f t="shared" si="6"/>
        <v>15</v>
      </c>
      <c r="Z17" s="54">
        <v>25.11</v>
      </c>
      <c r="AA17" s="55">
        <v>392</v>
      </c>
      <c r="AB17" s="150"/>
      <c r="AC17" s="75">
        <f t="shared" si="7"/>
        <v>15</v>
      </c>
      <c r="AD17" s="54">
        <v>55.08</v>
      </c>
      <c r="AE17" s="55">
        <v>1305</v>
      </c>
      <c r="AF17" s="150"/>
      <c r="AG17" s="75">
        <f t="shared" si="8"/>
        <v>15</v>
      </c>
      <c r="AH17" s="54">
        <v>36.92</v>
      </c>
      <c r="AI17" s="55">
        <v>443</v>
      </c>
      <c r="AJ17" s="150"/>
      <c r="AK17" s="75">
        <f t="shared" si="9"/>
        <v>15</v>
      </c>
      <c r="AL17" s="54"/>
      <c r="AM17" s="55"/>
      <c r="AN17" s="150">
        <v>4.1666666666666664E-2</v>
      </c>
      <c r="AO17" s="75">
        <f t="shared" si="10"/>
        <v>15</v>
      </c>
      <c r="AP17" s="54">
        <v>10.1</v>
      </c>
      <c r="AQ17" s="55">
        <v>306</v>
      </c>
      <c r="AR17" s="150"/>
      <c r="AS17" s="75">
        <f t="shared" si="11"/>
        <v>15</v>
      </c>
      <c r="AT17" s="54">
        <v>16.86</v>
      </c>
      <c r="AU17" s="55">
        <v>20</v>
      </c>
      <c r="AV17" s="150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50">
        <v>8.3333333333333329E-2</v>
      </c>
      <c r="E18" s="75">
        <f t="shared" si="1"/>
        <v>16</v>
      </c>
      <c r="F18" s="54"/>
      <c r="G18" s="55"/>
      <c r="H18" s="150"/>
      <c r="I18" s="75">
        <f t="shared" si="2"/>
        <v>16</v>
      </c>
      <c r="J18" s="54">
        <v>10.15</v>
      </c>
      <c r="K18" s="55">
        <v>306</v>
      </c>
      <c r="L18" s="150"/>
      <c r="M18" s="75">
        <f t="shared" si="3"/>
        <v>16</v>
      </c>
      <c r="N18" s="54">
        <v>10.72</v>
      </c>
      <c r="O18" s="55">
        <v>65</v>
      </c>
      <c r="P18" s="150"/>
      <c r="Q18" s="75">
        <f t="shared" si="4"/>
        <v>16</v>
      </c>
      <c r="R18" s="54">
        <v>86.53</v>
      </c>
      <c r="S18" s="55">
        <v>1105</v>
      </c>
      <c r="T18" s="150"/>
      <c r="U18" s="75">
        <f t="shared" si="5"/>
        <v>16</v>
      </c>
      <c r="V18" s="54">
        <v>13.6</v>
      </c>
      <c r="W18" s="55">
        <v>10</v>
      </c>
      <c r="X18" s="150"/>
      <c r="Y18" s="75">
        <f t="shared" si="6"/>
        <v>16</v>
      </c>
      <c r="Z18" s="54">
        <v>16.5</v>
      </c>
      <c r="AA18" s="55">
        <v>357</v>
      </c>
      <c r="AB18" s="150"/>
      <c r="AC18" s="75">
        <f t="shared" si="7"/>
        <v>16</v>
      </c>
      <c r="AD18" s="54">
        <v>48.78</v>
      </c>
      <c r="AE18" s="55">
        <v>679</v>
      </c>
      <c r="AF18" s="150"/>
      <c r="AG18" s="75">
        <f t="shared" si="8"/>
        <v>16</v>
      </c>
      <c r="AH18" s="54">
        <v>24.22</v>
      </c>
      <c r="AI18" s="55">
        <v>25</v>
      </c>
      <c r="AJ18" s="150"/>
      <c r="AK18" s="75">
        <f t="shared" si="9"/>
        <v>16</v>
      </c>
      <c r="AL18" s="54"/>
      <c r="AM18" s="55"/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>
        <v>17.37</v>
      </c>
      <c r="AU18" s="55">
        <v>26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15.56</v>
      </c>
      <c r="C19" s="55">
        <v>85</v>
      </c>
      <c r="D19" s="150"/>
      <c r="E19" s="75">
        <f t="shared" si="1"/>
        <v>17</v>
      </c>
      <c r="F19" s="54"/>
      <c r="G19" s="55"/>
      <c r="H19" s="150">
        <v>2.0833333333333332E-2</v>
      </c>
      <c r="I19" s="75">
        <f t="shared" si="2"/>
        <v>17</v>
      </c>
      <c r="J19" s="54">
        <v>16.77</v>
      </c>
      <c r="K19" s="55">
        <v>336</v>
      </c>
      <c r="L19" s="150"/>
      <c r="M19" s="75">
        <f t="shared" si="3"/>
        <v>17</v>
      </c>
      <c r="N19" s="54"/>
      <c r="O19" s="55"/>
      <c r="P19" s="150"/>
      <c r="Q19" s="75">
        <f t="shared" si="4"/>
        <v>17</v>
      </c>
      <c r="R19" s="54">
        <v>73.650000000000006</v>
      </c>
      <c r="S19" s="55">
        <v>630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>
        <v>11.8</v>
      </c>
      <c r="AA19" s="55">
        <v>5</v>
      </c>
      <c r="AB19" s="150"/>
      <c r="AC19" s="75">
        <f t="shared" si="7"/>
        <v>17</v>
      </c>
      <c r="AD19" s="54"/>
      <c r="AE19" s="55"/>
      <c r="AF19" s="150"/>
      <c r="AG19" s="75">
        <f t="shared" si="8"/>
        <v>17</v>
      </c>
      <c r="AH19" s="54"/>
      <c r="AI19" s="55"/>
      <c r="AJ19" s="150"/>
      <c r="AK19" s="75">
        <f t="shared" si="9"/>
        <v>17</v>
      </c>
      <c r="AL19" s="54"/>
      <c r="AM19" s="55"/>
      <c r="AN19" s="150"/>
      <c r="AO19" s="75">
        <f t="shared" si="10"/>
        <v>17</v>
      </c>
      <c r="AP19" s="54"/>
      <c r="AQ19" s="55"/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/>
      <c r="C20" s="55"/>
      <c r="D20" s="150"/>
      <c r="E20" s="75">
        <f t="shared" si="1"/>
        <v>18</v>
      </c>
      <c r="F20" s="54">
        <v>16.61</v>
      </c>
      <c r="G20" s="55">
        <v>158</v>
      </c>
      <c r="H20" s="150"/>
      <c r="I20" s="75">
        <f t="shared" si="2"/>
        <v>18</v>
      </c>
      <c r="J20" s="54"/>
      <c r="K20" s="55"/>
      <c r="L20" s="150"/>
      <c r="M20" s="75">
        <f t="shared" si="3"/>
        <v>18</v>
      </c>
      <c r="N20" s="54"/>
      <c r="O20" s="55"/>
      <c r="P20" s="150"/>
      <c r="Q20" s="75">
        <f t="shared" si="4"/>
        <v>18</v>
      </c>
      <c r="R20" s="54"/>
      <c r="S20" s="55"/>
      <c r="T20" s="150"/>
      <c r="U20" s="75">
        <f t="shared" si="5"/>
        <v>18</v>
      </c>
      <c r="V20" s="54">
        <v>15.51</v>
      </c>
      <c r="W20" s="55">
        <v>50</v>
      </c>
      <c r="X20" s="150"/>
      <c r="Y20" s="75">
        <f t="shared" si="6"/>
        <v>18</v>
      </c>
      <c r="Z20" s="54">
        <v>16.47</v>
      </c>
      <c r="AA20" s="55">
        <v>95</v>
      </c>
      <c r="AB20" s="150"/>
      <c r="AC20" s="75">
        <f t="shared" si="7"/>
        <v>18</v>
      </c>
      <c r="AD20" s="54">
        <v>21.04</v>
      </c>
      <c r="AE20" s="55">
        <v>236</v>
      </c>
      <c r="AF20" s="150"/>
      <c r="AG20" s="75">
        <f t="shared" si="8"/>
        <v>18</v>
      </c>
      <c r="AH20" s="54"/>
      <c r="AI20" s="55"/>
      <c r="AJ20" s="150"/>
      <c r="AK20" s="75">
        <f t="shared" si="9"/>
        <v>18</v>
      </c>
      <c r="AL20" s="54">
        <v>42.77</v>
      </c>
      <c r="AM20" s="55">
        <v>120</v>
      </c>
      <c r="AN20" s="150"/>
      <c r="AO20" s="75">
        <f t="shared" si="10"/>
        <v>18</v>
      </c>
      <c r="AP20" s="54">
        <v>10.1</v>
      </c>
      <c r="AQ20" s="55">
        <v>306</v>
      </c>
      <c r="AR20" s="150"/>
      <c r="AS20" s="75">
        <f t="shared" si="11"/>
        <v>18</v>
      </c>
      <c r="AT20" s="54"/>
      <c r="AU20" s="55"/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15.93</v>
      </c>
      <c r="G21" s="55">
        <v>51</v>
      </c>
      <c r="H21" s="150"/>
      <c r="I21" s="75">
        <f t="shared" si="2"/>
        <v>19</v>
      </c>
      <c r="J21" s="54">
        <v>13.7</v>
      </c>
      <c r="K21" s="55">
        <v>5</v>
      </c>
      <c r="L21" s="150"/>
      <c r="M21" s="75">
        <f t="shared" si="3"/>
        <v>19</v>
      </c>
      <c r="N21" s="54">
        <v>48.54</v>
      </c>
      <c r="O21" s="55">
        <v>485</v>
      </c>
      <c r="P21" s="150"/>
      <c r="Q21" s="75">
        <f t="shared" si="4"/>
        <v>19</v>
      </c>
      <c r="R21" s="54">
        <v>28.48</v>
      </c>
      <c r="S21" s="55">
        <v>463</v>
      </c>
      <c r="T21" s="150"/>
      <c r="U21" s="75">
        <f t="shared" si="5"/>
        <v>19</v>
      </c>
      <c r="V21" s="54">
        <v>28.26</v>
      </c>
      <c r="W21" s="55">
        <v>190</v>
      </c>
      <c r="X21" s="150"/>
      <c r="Y21" s="75">
        <f t="shared" si="6"/>
        <v>19</v>
      </c>
      <c r="Z21" s="54">
        <v>43.76</v>
      </c>
      <c r="AA21" s="55">
        <v>230</v>
      </c>
      <c r="AB21" s="150"/>
      <c r="AC21" s="75">
        <f t="shared" si="7"/>
        <v>19</v>
      </c>
      <c r="AD21" s="54">
        <v>17.079999999999998</v>
      </c>
      <c r="AE21" s="55">
        <v>360</v>
      </c>
      <c r="AF21" s="150"/>
      <c r="AG21" s="75">
        <f t="shared" si="8"/>
        <v>19</v>
      </c>
      <c r="AH21" s="54"/>
      <c r="AI21" s="55"/>
      <c r="AJ21" s="150"/>
      <c r="AK21" s="75">
        <f t="shared" si="9"/>
        <v>19</v>
      </c>
      <c r="AL21" s="54">
        <v>28.33</v>
      </c>
      <c r="AM21" s="55">
        <v>25</v>
      </c>
      <c r="AN21" s="150"/>
      <c r="AO21" s="75">
        <f t="shared" si="10"/>
        <v>19</v>
      </c>
      <c r="AP21" s="54"/>
      <c r="AQ21" s="55"/>
      <c r="AR21" s="150"/>
      <c r="AS21" s="75">
        <f t="shared" si="11"/>
        <v>19</v>
      </c>
      <c r="AT21" s="54"/>
      <c r="AU21" s="55"/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>
        <v>0.125</v>
      </c>
      <c r="E22" s="75">
        <f t="shared" si="1"/>
        <v>20</v>
      </c>
      <c r="F22" s="54"/>
      <c r="G22" s="55"/>
      <c r="H22" s="150"/>
      <c r="I22" s="75">
        <f t="shared" si="2"/>
        <v>20</v>
      </c>
      <c r="J22" s="54">
        <v>15.89</v>
      </c>
      <c r="K22" s="55">
        <v>19</v>
      </c>
      <c r="L22" s="150"/>
      <c r="M22" s="75">
        <f t="shared" si="3"/>
        <v>20</v>
      </c>
      <c r="N22" s="54">
        <v>52.97</v>
      </c>
      <c r="O22" s="55">
        <v>650</v>
      </c>
      <c r="P22" s="150"/>
      <c r="Q22" s="75">
        <f t="shared" si="4"/>
        <v>20</v>
      </c>
      <c r="R22" s="54">
        <v>14.16</v>
      </c>
      <c r="S22" s="55">
        <v>5</v>
      </c>
      <c r="T22" s="150"/>
      <c r="U22" s="75">
        <f t="shared" si="5"/>
        <v>20</v>
      </c>
      <c r="V22" s="54">
        <v>60.12</v>
      </c>
      <c r="W22" s="55">
        <v>746</v>
      </c>
      <c r="X22" s="150"/>
      <c r="Y22" s="75">
        <f t="shared" si="6"/>
        <v>20</v>
      </c>
      <c r="Z22" s="54">
        <v>26.53</v>
      </c>
      <c r="AA22" s="55">
        <v>525</v>
      </c>
      <c r="AB22" s="150"/>
      <c r="AC22" s="75">
        <f t="shared" si="7"/>
        <v>20</v>
      </c>
      <c r="AD22" s="54">
        <v>7.25</v>
      </c>
      <c r="AE22" s="55">
        <v>18</v>
      </c>
      <c r="AF22" s="150"/>
      <c r="AG22" s="75">
        <f t="shared" si="8"/>
        <v>20</v>
      </c>
      <c r="AH22" s="54">
        <v>24.68</v>
      </c>
      <c r="AI22" s="55">
        <v>110</v>
      </c>
      <c r="AJ22" s="150"/>
      <c r="AK22" s="75">
        <f t="shared" si="9"/>
        <v>20</v>
      </c>
      <c r="AL22" s="54">
        <v>12.67</v>
      </c>
      <c r="AM22" s="55">
        <v>40</v>
      </c>
      <c r="AN22" s="150"/>
      <c r="AO22" s="75">
        <f t="shared" si="10"/>
        <v>20</v>
      </c>
      <c r="AP22" s="54">
        <v>10.1</v>
      </c>
      <c r="AQ22" s="55">
        <v>306</v>
      </c>
      <c r="AR22" s="150"/>
      <c r="AS22" s="75">
        <f t="shared" si="11"/>
        <v>20</v>
      </c>
      <c r="AT22" s="54"/>
      <c r="AU22" s="55"/>
      <c r="AV22" s="150">
        <v>2.0833333333333332E-2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/>
      <c r="G23" s="55"/>
      <c r="H23" s="150"/>
      <c r="I23" s="75">
        <f t="shared" si="2"/>
        <v>21</v>
      </c>
      <c r="J23" s="54">
        <v>89.7</v>
      </c>
      <c r="K23" s="55">
        <v>730</v>
      </c>
      <c r="L23" s="150"/>
      <c r="M23" s="75">
        <f t="shared" si="3"/>
        <v>21</v>
      </c>
      <c r="N23" s="54">
        <v>17.059999999999999</v>
      </c>
      <c r="O23" s="55">
        <v>375</v>
      </c>
      <c r="P23" s="150"/>
      <c r="Q23" s="75">
        <f t="shared" si="4"/>
        <v>21</v>
      </c>
      <c r="R23" s="54">
        <v>53.53</v>
      </c>
      <c r="S23" s="55">
        <v>959</v>
      </c>
      <c r="T23" s="150"/>
      <c r="U23" s="75">
        <f t="shared" si="5"/>
        <v>21</v>
      </c>
      <c r="V23" s="54">
        <v>24.28</v>
      </c>
      <c r="W23" s="55">
        <v>90</v>
      </c>
      <c r="X23" s="150"/>
      <c r="Y23" s="75">
        <f t="shared" si="6"/>
        <v>21</v>
      </c>
      <c r="Z23" s="54">
        <v>12.71</v>
      </c>
      <c r="AA23" s="55">
        <v>35</v>
      </c>
      <c r="AB23" s="150"/>
      <c r="AC23" s="75">
        <f t="shared" si="7"/>
        <v>21</v>
      </c>
      <c r="AD23" s="54">
        <v>11.93</v>
      </c>
      <c r="AE23" s="55">
        <v>15</v>
      </c>
      <c r="AF23" s="150"/>
      <c r="AG23" s="75">
        <f t="shared" si="8"/>
        <v>21</v>
      </c>
      <c r="AH23" s="54">
        <v>20.100000000000001</v>
      </c>
      <c r="AI23" s="55">
        <v>430</v>
      </c>
      <c r="AJ23" s="150"/>
      <c r="AK23" s="75">
        <f t="shared" si="9"/>
        <v>21</v>
      </c>
      <c r="AL23" s="54">
        <v>16.86</v>
      </c>
      <c r="AM23" s="55">
        <v>20</v>
      </c>
      <c r="AN23" s="150"/>
      <c r="AO23" s="75">
        <f t="shared" si="10"/>
        <v>21</v>
      </c>
      <c r="AP23" s="54"/>
      <c r="AQ23" s="55"/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11.65</v>
      </c>
      <c r="C24" s="55">
        <v>70</v>
      </c>
      <c r="D24" s="150"/>
      <c r="E24" s="75">
        <f t="shared" si="1"/>
        <v>22</v>
      </c>
      <c r="F24" s="54"/>
      <c r="G24" s="55"/>
      <c r="H24" s="150">
        <v>5.2083333333333336E-2</v>
      </c>
      <c r="I24" s="75">
        <f t="shared" si="2"/>
        <v>22</v>
      </c>
      <c r="J24" s="54">
        <v>58.83</v>
      </c>
      <c r="K24" s="55">
        <v>577</v>
      </c>
      <c r="L24" s="150"/>
      <c r="M24" s="75">
        <f t="shared" si="3"/>
        <v>22</v>
      </c>
      <c r="N24" s="54"/>
      <c r="O24" s="55"/>
      <c r="P24" s="150">
        <v>2.0833333333333332E-2</v>
      </c>
      <c r="Q24" s="75">
        <f t="shared" si="4"/>
        <v>22</v>
      </c>
      <c r="T24" s="150"/>
      <c r="U24" s="75">
        <f t="shared" si="5"/>
        <v>22</v>
      </c>
      <c r="V24" s="54">
        <v>54.98</v>
      </c>
      <c r="W24" s="55">
        <v>130</v>
      </c>
      <c r="X24" s="150"/>
      <c r="Y24" s="75">
        <f t="shared" si="6"/>
        <v>22</v>
      </c>
      <c r="Z24" s="54">
        <v>16.190000000000001</v>
      </c>
      <c r="AA24" s="55">
        <v>317</v>
      </c>
      <c r="AB24" s="150"/>
      <c r="AC24" s="75">
        <f t="shared" si="7"/>
        <v>22</v>
      </c>
      <c r="AD24" s="54">
        <v>73.569999999999993</v>
      </c>
      <c r="AE24" s="55">
        <v>810</v>
      </c>
      <c r="AF24" s="150"/>
      <c r="AG24" s="75">
        <f t="shared" si="8"/>
        <v>22</v>
      </c>
      <c r="AH24" s="54">
        <v>21.33</v>
      </c>
      <c r="AI24" s="55">
        <v>471</v>
      </c>
      <c r="AJ24" s="150"/>
      <c r="AK24" s="75">
        <f t="shared" si="9"/>
        <v>22</v>
      </c>
      <c r="AL24" s="54"/>
      <c r="AM24" s="55"/>
      <c r="AN24" s="150"/>
      <c r="AO24" s="75">
        <f t="shared" si="10"/>
        <v>22</v>
      </c>
      <c r="AP24" s="54">
        <v>12.94</v>
      </c>
      <c r="AQ24" s="55">
        <v>40</v>
      </c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>
        <v>4.5999999999999996</v>
      </c>
      <c r="C25" s="55">
        <v>0</v>
      </c>
      <c r="D25" s="150"/>
      <c r="E25" s="75">
        <f t="shared" si="1"/>
        <v>23</v>
      </c>
      <c r="F25" s="54">
        <v>10</v>
      </c>
      <c r="G25" s="55">
        <v>18</v>
      </c>
      <c r="H25" s="150"/>
      <c r="I25" s="75">
        <f t="shared" si="2"/>
        <v>23</v>
      </c>
      <c r="J25" s="54"/>
      <c r="K25" s="55"/>
      <c r="L25" s="150">
        <v>4.1666666666666664E-2</v>
      </c>
      <c r="M25" s="75">
        <f t="shared" si="3"/>
        <v>23</v>
      </c>
      <c r="N25" s="54">
        <v>15.37</v>
      </c>
      <c r="O25" s="55">
        <v>50</v>
      </c>
      <c r="P25" s="150"/>
      <c r="Q25" s="75">
        <f t="shared" si="4"/>
        <v>23</v>
      </c>
      <c r="R25" s="54">
        <v>37.92</v>
      </c>
      <c r="S25" s="55">
        <v>1226</v>
      </c>
      <c r="T25" s="150"/>
      <c r="U25" s="75">
        <f t="shared" si="5"/>
        <v>23</v>
      </c>
      <c r="V25" s="54">
        <v>47.03</v>
      </c>
      <c r="W25" s="55">
        <v>505</v>
      </c>
      <c r="X25" s="150"/>
      <c r="Y25" s="75">
        <f t="shared" si="6"/>
        <v>23</v>
      </c>
      <c r="Z25" s="54"/>
      <c r="AA25" s="55"/>
      <c r="AB25" s="150"/>
      <c r="AC25" s="75">
        <f t="shared" si="7"/>
        <v>23</v>
      </c>
      <c r="AD25" s="54">
        <v>25.2</v>
      </c>
      <c r="AE25" s="55">
        <v>115</v>
      </c>
      <c r="AF25" s="150"/>
      <c r="AG25" s="75">
        <f t="shared" si="8"/>
        <v>23</v>
      </c>
      <c r="AH25" s="54">
        <v>21.55</v>
      </c>
      <c r="AI25" s="55">
        <v>620</v>
      </c>
      <c r="AJ25" s="150"/>
      <c r="AK25" s="75">
        <f t="shared" si="9"/>
        <v>23</v>
      </c>
      <c r="AL25" s="54">
        <v>27.19</v>
      </c>
      <c r="AM25" s="55">
        <v>30</v>
      </c>
      <c r="AN25" s="150"/>
      <c r="AO25" s="75">
        <f t="shared" si="10"/>
        <v>23</v>
      </c>
      <c r="AP25" s="54"/>
      <c r="AQ25" s="55"/>
      <c r="AR25" s="150"/>
      <c r="AS25" s="75">
        <f t="shared" si="11"/>
        <v>23</v>
      </c>
      <c r="AT25" s="54">
        <v>17.02</v>
      </c>
      <c r="AU25" s="55">
        <v>6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33.26</v>
      </c>
      <c r="C26" s="55">
        <v>58</v>
      </c>
      <c r="D26" s="150">
        <v>2.0833333333333332E-2</v>
      </c>
      <c r="E26" s="75">
        <f t="shared" si="1"/>
        <v>24</v>
      </c>
      <c r="F26" s="54">
        <v>21.49</v>
      </c>
      <c r="G26" s="55">
        <v>150</v>
      </c>
      <c r="H26" s="150"/>
      <c r="I26" s="75">
        <f t="shared" si="2"/>
        <v>24</v>
      </c>
      <c r="J26" s="54"/>
      <c r="K26" s="55"/>
      <c r="L26" s="150"/>
      <c r="M26" s="75">
        <f t="shared" si="3"/>
        <v>24</v>
      </c>
      <c r="N26" s="54">
        <v>24.91</v>
      </c>
      <c r="O26" s="55">
        <v>212</v>
      </c>
      <c r="P26" s="150"/>
      <c r="Q26" s="75">
        <f t="shared" si="4"/>
        <v>24</v>
      </c>
      <c r="R26" s="54">
        <v>88.12</v>
      </c>
      <c r="S26" s="55">
        <v>893</v>
      </c>
      <c r="T26" s="150"/>
      <c r="U26" s="75">
        <f t="shared" si="5"/>
        <v>24</v>
      </c>
      <c r="V26" s="54">
        <v>58.15</v>
      </c>
      <c r="W26" s="55">
        <v>1033</v>
      </c>
      <c r="X26" s="150"/>
      <c r="Y26" s="75">
        <f t="shared" si="6"/>
        <v>24</v>
      </c>
      <c r="Z26" s="54">
        <v>15.49</v>
      </c>
      <c r="AA26" s="55">
        <v>30</v>
      </c>
      <c r="AB26" s="150"/>
      <c r="AC26" s="75">
        <f t="shared" si="7"/>
        <v>24</v>
      </c>
      <c r="AD26" s="54">
        <v>28.72</v>
      </c>
      <c r="AE26" s="55">
        <v>463</v>
      </c>
      <c r="AF26" s="150"/>
      <c r="AG26" s="75">
        <f t="shared" si="8"/>
        <v>24</v>
      </c>
      <c r="AH26" s="54"/>
      <c r="AI26" s="55"/>
      <c r="AJ26" s="150"/>
      <c r="AK26" s="75">
        <f t="shared" si="9"/>
        <v>24</v>
      </c>
      <c r="AL26" s="54">
        <v>30.38</v>
      </c>
      <c r="AM26" s="55">
        <v>40</v>
      </c>
      <c r="AN26" s="150"/>
      <c r="AO26" s="75">
        <f t="shared" si="10"/>
        <v>24</v>
      </c>
      <c r="AP26" s="54"/>
      <c r="AQ26" s="55"/>
      <c r="AR26" s="150"/>
      <c r="AS26" s="75">
        <f t="shared" si="11"/>
        <v>24</v>
      </c>
      <c r="AT26" s="54"/>
      <c r="AU26" s="55"/>
      <c r="AV26" s="150"/>
      <c r="AW26" s="67"/>
    </row>
    <row r="27" spans="1:49" s="49" customFormat="1" ht="11.25" x14ac:dyDescent="0.2">
      <c r="A27" s="73">
        <f t="shared" si="0"/>
        <v>25</v>
      </c>
      <c r="B27" s="54">
        <v>37.08</v>
      </c>
      <c r="C27" s="55">
        <v>411</v>
      </c>
      <c r="D27" s="150"/>
      <c r="E27" s="75">
        <f t="shared" si="1"/>
        <v>25</v>
      </c>
      <c r="F27" s="54">
        <v>15</v>
      </c>
      <c r="G27" s="55">
        <v>330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47.77</v>
      </c>
      <c r="O27" s="55">
        <v>760</v>
      </c>
      <c r="P27" s="150"/>
      <c r="Q27" s="75">
        <f t="shared" si="4"/>
        <v>25</v>
      </c>
      <c r="R27" s="54"/>
      <c r="S27" s="55"/>
      <c r="T27" s="150"/>
      <c r="U27" s="75">
        <f t="shared" si="5"/>
        <v>25</v>
      </c>
      <c r="V27" s="54">
        <v>55.66</v>
      </c>
      <c r="W27" s="55">
        <v>810</v>
      </c>
      <c r="X27" s="150"/>
      <c r="Y27" s="75">
        <f t="shared" si="6"/>
        <v>25</v>
      </c>
      <c r="Z27" s="54"/>
      <c r="AA27" s="55"/>
      <c r="AB27" s="150"/>
      <c r="AC27" s="75">
        <f t="shared" si="7"/>
        <v>25</v>
      </c>
      <c r="AD27" s="54">
        <v>22.45</v>
      </c>
      <c r="AE27" s="55">
        <v>385</v>
      </c>
      <c r="AF27" s="150"/>
      <c r="AG27" s="75">
        <f t="shared" si="8"/>
        <v>25</v>
      </c>
      <c r="AH27" s="54">
        <v>24.06</v>
      </c>
      <c r="AI27" s="55">
        <v>25</v>
      </c>
      <c r="AJ27" s="150"/>
      <c r="AK27" s="75">
        <f t="shared" si="9"/>
        <v>25</v>
      </c>
      <c r="AL27" s="54">
        <v>12.03</v>
      </c>
      <c r="AM27" s="55">
        <v>10</v>
      </c>
      <c r="AN27" s="150"/>
      <c r="AO27" s="75">
        <f t="shared" si="10"/>
        <v>25</v>
      </c>
      <c r="AP27" s="54">
        <v>10.96</v>
      </c>
      <c r="AQ27" s="55">
        <v>313</v>
      </c>
      <c r="AR27" s="150"/>
      <c r="AS27" s="75">
        <f t="shared" si="11"/>
        <v>25</v>
      </c>
      <c r="AT27" s="54">
        <v>17.55</v>
      </c>
      <c r="AU27" s="55">
        <v>70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6.45</v>
      </c>
      <c r="G28" s="55">
        <v>0</v>
      </c>
      <c r="H28" s="150"/>
      <c r="I28" s="75">
        <f t="shared" si="2"/>
        <v>26</v>
      </c>
      <c r="J28" s="54"/>
      <c r="K28" s="55"/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/>
      <c r="S28" s="55"/>
      <c r="T28" s="150"/>
      <c r="U28" s="75">
        <f t="shared" si="5"/>
        <v>26</v>
      </c>
      <c r="V28" s="54">
        <v>29.21</v>
      </c>
      <c r="W28" s="55">
        <v>190</v>
      </c>
      <c r="X28" s="150"/>
      <c r="Y28" s="75">
        <f t="shared" si="6"/>
        <v>26</v>
      </c>
      <c r="Z28" s="54">
        <v>54</v>
      </c>
      <c r="AA28" s="55">
        <v>590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>
        <v>64.67</v>
      </c>
      <c r="AI28" s="55">
        <v>1860</v>
      </c>
      <c r="AJ28" s="150"/>
      <c r="AK28" s="75">
        <f t="shared" si="9"/>
        <v>26</v>
      </c>
      <c r="AL28" s="54">
        <v>40.04</v>
      </c>
      <c r="AM28" s="55">
        <v>233</v>
      </c>
      <c r="AN28" s="150"/>
      <c r="AO28" s="75">
        <f t="shared" si="10"/>
        <v>26</v>
      </c>
      <c r="AP28" s="54">
        <v>9.82</v>
      </c>
      <c r="AQ28" s="55">
        <v>0</v>
      </c>
      <c r="AR28" s="150"/>
      <c r="AS28" s="75">
        <f t="shared" si="11"/>
        <v>26</v>
      </c>
      <c r="AT28" s="54">
        <v>54.41</v>
      </c>
      <c r="AU28" s="55">
        <v>545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10.71</v>
      </c>
      <c r="C29" s="55">
        <v>25</v>
      </c>
      <c r="D29" s="150"/>
      <c r="E29" s="75">
        <f t="shared" si="1"/>
        <v>27</v>
      </c>
      <c r="F29" s="54">
        <v>5.09</v>
      </c>
      <c r="G29" s="55">
        <v>0</v>
      </c>
      <c r="H29" s="150"/>
      <c r="I29" s="75">
        <f t="shared" si="2"/>
        <v>27</v>
      </c>
      <c r="J29" s="54">
        <v>13.72</v>
      </c>
      <c r="K29" s="55">
        <v>5</v>
      </c>
      <c r="L29" s="150"/>
      <c r="M29" s="75">
        <f t="shared" si="3"/>
        <v>27</v>
      </c>
      <c r="N29" s="54">
        <v>35.57</v>
      </c>
      <c r="O29" s="55">
        <v>20</v>
      </c>
      <c r="P29" s="150"/>
      <c r="Q29" s="75">
        <f t="shared" si="4"/>
        <v>27</v>
      </c>
      <c r="R29" s="54">
        <v>40.14</v>
      </c>
      <c r="S29" s="55">
        <v>31</v>
      </c>
      <c r="T29" s="150"/>
      <c r="U29" s="75">
        <f t="shared" si="5"/>
        <v>27</v>
      </c>
      <c r="V29" s="54"/>
      <c r="W29" s="55"/>
      <c r="X29" s="150"/>
      <c r="Y29" s="75">
        <f t="shared" si="6"/>
        <v>27</v>
      </c>
      <c r="Z29" s="54">
        <v>15.21</v>
      </c>
      <c r="AA29" s="55">
        <v>10</v>
      </c>
      <c r="AB29" s="150"/>
      <c r="AC29" s="75">
        <f t="shared" si="7"/>
        <v>27</v>
      </c>
      <c r="AD29" s="54">
        <v>16.12</v>
      </c>
      <c r="AE29" s="55">
        <v>43</v>
      </c>
      <c r="AF29" s="150"/>
      <c r="AG29" s="75">
        <f t="shared" si="8"/>
        <v>27</v>
      </c>
      <c r="AH29" s="54">
        <v>34.4</v>
      </c>
      <c r="AI29" s="55">
        <v>165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4.5999999999999996</v>
      </c>
      <c r="C30" s="55">
        <v>0</v>
      </c>
      <c r="D30" s="150"/>
      <c r="E30" s="75">
        <f t="shared" si="1"/>
        <v>28</v>
      </c>
      <c r="F30" s="54">
        <v>33.39</v>
      </c>
      <c r="G30" s="55">
        <v>435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/>
      <c r="O30" s="55"/>
      <c r="P30" s="150"/>
      <c r="Q30" s="75">
        <f t="shared" si="4"/>
        <v>28</v>
      </c>
      <c r="R30" s="54"/>
      <c r="S30" s="55"/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19.850000000000001</v>
      </c>
      <c r="AA30" s="55">
        <v>35</v>
      </c>
      <c r="AB30" s="150"/>
      <c r="AC30" s="75">
        <f t="shared" si="7"/>
        <v>28</v>
      </c>
      <c r="AD30" s="54">
        <v>20.309999999999999</v>
      </c>
      <c r="AE30" s="55">
        <v>65</v>
      </c>
      <c r="AF30" s="150"/>
      <c r="AG30" s="75">
        <f t="shared" si="8"/>
        <v>28</v>
      </c>
      <c r="AH30" s="54">
        <v>18.25</v>
      </c>
      <c r="AI30" s="55">
        <v>75</v>
      </c>
      <c r="AJ30" s="150"/>
      <c r="AK30" s="75">
        <f t="shared" si="9"/>
        <v>28</v>
      </c>
      <c r="AL30" s="54">
        <v>25.64</v>
      </c>
      <c r="AM30" s="55">
        <v>30</v>
      </c>
      <c r="AN30" s="150"/>
      <c r="AO30" s="75">
        <f t="shared" si="10"/>
        <v>28</v>
      </c>
      <c r="AP30" s="54">
        <v>29.69</v>
      </c>
      <c r="AQ30" s="55">
        <v>647</v>
      </c>
      <c r="AR30" s="150"/>
      <c r="AS30" s="75">
        <f t="shared" si="11"/>
        <v>28</v>
      </c>
      <c r="AT30" s="54">
        <v>18.68</v>
      </c>
      <c r="AU30" s="55">
        <v>15</v>
      </c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/>
      <c r="F31" s="54"/>
      <c r="G31" s="55"/>
      <c r="H31" s="150"/>
      <c r="I31" s="75">
        <f t="shared" si="2"/>
        <v>29</v>
      </c>
      <c r="J31" s="54">
        <v>45.31</v>
      </c>
      <c r="K31" s="55">
        <v>632</v>
      </c>
      <c r="L31" s="150"/>
      <c r="M31" s="75">
        <f t="shared" si="3"/>
        <v>29</v>
      </c>
      <c r="N31" s="54"/>
      <c r="O31" s="55"/>
      <c r="P31" s="150"/>
      <c r="Q31" s="75">
        <f t="shared" si="4"/>
        <v>29</v>
      </c>
      <c r="R31" s="54"/>
      <c r="S31" s="55"/>
      <c r="T31" s="150"/>
      <c r="U31" s="75">
        <f t="shared" si="5"/>
        <v>29</v>
      </c>
      <c r="V31" s="54"/>
      <c r="W31" s="55"/>
      <c r="X31" s="150"/>
      <c r="Y31" s="75">
        <f t="shared" si="6"/>
        <v>29</v>
      </c>
      <c r="Z31" s="54">
        <v>20.28</v>
      </c>
      <c r="AA31" s="55">
        <v>10</v>
      </c>
      <c r="AB31" s="150"/>
      <c r="AC31" s="75">
        <f t="shared" si="7"/>
        <v>29</v>
      </c>
      <c r="AD31" s="54">
        <v>95.27</v>
      </c>
      <c r="AE31" s="55">
        <v>1035</v>
      </c>
      <c r="AF31" s="150"/>
      <c r="AG31" s="75">
        <f t="shared" si="8"/>
        <v>29</v>
      </c>
      <c r="AH31" s="54"/>
      <c r="AI31" s="55"/>
      <c r="AJ31" s="150"/>
      <c r="AK31" s="75">
        <f t="shared" si="9"/>
        <v>29</v>
      </c>
      <c r="AL31" s="54"/>
      <c r="AM31" s="55"/>
      <c r="AN31" s="150"/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/>
      <c r="AU31" s="55"/>
      <c r="AV31" s="150"/>
      <c r="AW31" s="67"/>
    </row>
    <row r="32" spans="1:49" s="49" customFormat="1" ht="11.25" x14ac:dyDescent="0.2">
      <c r="A32" s="73">
        <f t="shared" si="0"/>
        <v>30</v>
      </c>
      <c r="B32" s="54">
        <v>14.24</v>
      </c>
      <c r="C32" s="55">
        <v>90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21.43</v>
      </c>
      <c r="O32" s="55">
        <v>10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39.33</v>
      </c>
      <c r="W32" s="55">
        <v>25</v>
      </c>
      <c r="X32" s="150"/>
      <c r="Y32" s="75">
        <f t="shared" si="6"/>
        <v>30</v>
      </c>
      <c r="Z32" s="54">
        <v>50.25</v>
      </c>
      <c r="AA32" s="55">
        <v>45</v>
      </c>
      <c r="AB32" s="150"/>
      <c r="AC32" s="75">
        <f t="shared" si="7"/>
        <v>30</v>
      </c>
      <c r="AD32" s="54">
        <v>38.46</v>
      </c>
      <c r="AE32" s="55">
        <v>383</v>
      </c>
      <c r="AF32" s="150"/>
      <c r="AG32" s="75">
        <f t="shared" si="8"/>
        <v>30</v>
      </c>
      <c r="AH32" s="54"/>
      <c r="AI32" s="55"/>
      <c r="AJ32" s="150"/>
      <c r="AK32" s="75">
        <f t="shared" si="9"/>
        <v>30</v>
      </c>
      <c r="AL32" s="54">
        <v>31</v>
      </c>
      <c r="AM32" s="55">
        <v>1100</v>
      </c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>
        <v>17.55</v>
      </c>
      <c r="C33" s="63">
        <v>314</v>
      </c>
      <c r="D33" s="151">
        <v>4.1666666666666664E-2</v>
      </c>
      <c r="E33" s="76"/>
      <c r="F33" s="62"/>
      <c r="G33" s="63"/>
      <c r="H33" s="151"/>
      <c r="I33" s="76">
        <f t="shared" si="2"/>
        <v>31</v>
      </c>
      <c r="J33" s="62">
        <v>27.35</v>
      </c>
      <c r="K33" s="63">
        <v>463</v>
      </c>
      <c r="L33" s="151"/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19.510000000000002</v>
      </c>
      <c r="AA33" s="63">
        <v>185</v>
      </c>
      <c r="AB33" s="151"/>
      <c r="AC33" s="76">
        <f t="shared" si="7"/>
        <v>31</v>
      </c>
      <c r="AD33" s="62">
        <v>17.739999999999998</v>
      </c>
      <c r="AE33" s="63">
        <v>91</v>
      </c>
      <c r="AF33" s="151"/>
      <c r="AG33" s="76"/>
      <c r="AH33" s="62"/>
      <c r="AI33" s="63"/>
      <c r="AJ33" s="151"/>
      <c r="AK33" s="76">
        <f t="shared" si="9"/>
        <v>31</v>
      </c>
      <c r="AL33" s="62">
        <v>43.4</v>
      </c>
      <c r="AM33" s="63">
        <v>1123</v>
      </c>
      <c r="AN33" s="151"/>
      <c r="AO33" s="76"/>
      <c r="AP33" s="62"/>
      <c r="AQ33" s="63"/>
      <c r="AR33" s="151"/>
      <c r="AS33" s="76">
        <f t="shared" si="11"/>
        <v>31</v>
      </c>
      <c r="AT33" s="62">
        <v>20.21</v>
      </c>
      <c r="AU33" s="63">
        <v>78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1.25" x14ac:dyDescent="0.2">
      <c r="A35" s="46" t="s">
        <v>93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1.25" x14ac:dyDescent="0.2">
      <c r="A36" s="49" t="s">
        <v>149</v>
      </c>
      <c r="B36" s="54">
        <f>MAX(B3:B33)</f>
        <v>48.34</v>
      </c>
      <c r="C36" s="55">
        <f>MAX(C3:C33)</f>
        <v>496</v>
      </c>
      <c r="D36" s="152">
        <f>MAX(D3:D33)</f>
        <v>0.125</v>
      </c>
      <c r="E36" s="67"/>
      <c r="F36" s="54">
        <f>MAX(F3:F33)</f>
        <v>33.39</v>
      </c>
      <c r="G36" s="55">
        <f>MAX(G3:G33)</f>
        <v>630</v>
      </c>
      <c r="H36" s="152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52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52">
        <f>MAX(P3:P33)</f>
        <v>2.0833333333333332E-2</v>
      </c>
      <c r="Q36" s="67"/>
      <c r="R36" s="315">
        <f>MAX(R3:R33)</f>
        <v>131.44</v>
      </c>
      <c r="S36" s="55">
        <f>MAX(S3:S33)</f>
        <v>1226</v>
      </c>
      <c r="T36" s="152">
        <f>MAX(T3:T33)</f>
        <v>0</v>
      </c>
      <c r="U36" s="67"/>
      <c r="V36" s="54">
        <f>MAX(V3:V33)</f>
        <v>124</v>
      </c>
      <c r="W36" s="55">
        <f>MAX(W3:W33)</f>
        <v>1445</v>
      </c>
      <c r="X36" s="152">
        <f>MAX(X3:X33)</f>
        <v>0</v>
      </c>
      <c r="Y36" s="67"/>
      <c r="Z36" s="54">
        <f>MAX(Z3:Z33)</f>
        <v>115</v>
      </c>
      <c r="AA36" s="55">
        <f>MAX(AA3:AA33)</f>
        <v>1241</v>
      </c>
      <c r="AB36" s="152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52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52">
        <f>MAX(AJ3:AJ33)</f>
        <v>0</v>
      </c>
      <c r="AK36" s="67"/>
      <c r="AL36" s="315">
        <f>MAX(AL3:AL33)</f>
        <v>100.03</v>
      </c>
      <c r="AM36" s="55">
        <f>MAX(AM3:AM33)</f>
        <v>1123</v>
      </c>
      <c r="AN36" s="152">
        <f>MAX(AN3:AN33)</f>
        <v>4.1666666666666664E-2</v>
      </c>
      <c r="AO36" s="67"/>
      <c r="AP36" s="54">
        <f>MAX(AP3:AP33)</f>
        <v>60.6</v>
      </c>
      <c r="AQ36" s="314">
        <f>MAX(AQ3:AQ33)</f>
        <v>1490</v>
      </c>
      <c r="AR36" s="152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16.66888888888889</v>
      </c>
      <c r="C37" s="55">
        <f>IFERROR(AVERAGE(C3:C33),0)</f>
        <v>104.16666666666667</v>
      </c>
      <c r="D37" s="152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52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52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52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52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52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52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52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52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52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52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52">
        <f>IFERROR(AVERAGE(AV3:AV33),0)</f>
        <v>2.0833333333333332E-2</v>
      </c>
      <c r="AW37" s="67"/>
    </row>
    <row r="38" spans="1:49" s="49" customFormat="1" ht="11.25" x14ac:dyDescent="0.2">
      <c r="A38" s="49" t="s">
        <v>236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1106.95</v>
      </c>
      <c r="K39" s="51">
        <f t="shared" ref="K39:L39" si="12">SUM(C34,G34,K34)</f>
        <v>9621</v>
      </c>
      <c r="L39" s="170">
        <f t="shared" si="12"/>
        <v>502</v>
      </c>
      <c r="M39" s="168"/>
      <c r="P39" s="169"/>
      <c r="Q39" s="168"/>
      <c r="T39" s="169"/>
      <c r="U39" s="168"/>
      <c r="V39" s="50">
        <f>SUM(N34,R34,V34)</f>
        <v>2414.42</v>
      </c>
      <c r="W39" s="51">
        <f>SUM(O34,S34,W34)</f>
        <v>23523</v>
      </c>
      <c r="X39" s="170">
        <f>SUM(P34,T34,X34)</f>
        <v>12</v>
      </c>
      <c r="Y39" s="168"/>
      <c r="AB39" s="169"/>
      <c r="AC39" s="168"/>
      <c r="AF39" s="169"/>
      <c r="AG39" s="168"/>
      <c r="AH39" s="50">
        <f>SUM(Z34,AD34,AH34)</f>
        <v>2174.92</v>
      </c>
      <c r="AI39" s="51">
        <f>SUM(AA34,AE34,AI34)</f>
        <v>25325</v>
      </c>
      <c r="AJ39" s="170">
        <f>SUM(AB34,AF34,AJ34)</f>
        <v>24</v>
      </c>
      <c r="AK39" s="168"/>
      <c r="AN39" s="169"/>
      <c r="AO39" s="168"/>
      <c r="AR39" s="169"/>
      <c r="AS39" s="168"/>
      <c r="AT39" s="50">
        <f>SUM(AL34,AP34,AT34)</f>
        <v>1052.04</v>
      </c>
      <c r="AU39" s="51">
        <f>SUM(AM34,AQ34,AU34)</f>
        <v>8987</v>
      </c>
      <c r="AV39" s="170">
        <f>SUM(AN34,AR34,AV34)</f>
        <v>72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52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52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52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52">
        <f>IFERROR(AVERAGE(AN37,AR37,AV37),0)</f>
        <v>2.0833333333333332E-2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2">
      <c r="A42" s="52" t="s">
        <v>214</v>
      </c>
      <c r="B42" s="86">
        <f>T1</f>
        <v>28.737098655776773</v>
      </c>
      <c r="C42" s="87">
        <f>AB1</f>
        <v>285.10348601962454</v>
      </c>
      <c r="D42" s="88"/>
      <c r="E42" s="176" t="s">
        <v>399</v>
      </c>
      <c r="F42" s="177">
        <f>SUM(J23:J33,N3:N33,R3:R33,V3:V33,Z3:Z33,AD3:AD33,AH3:AH23)</f>
        <v>4639.9900000000025</v>
      </c>
      <c r="G42" s="178">
        <f>SUM(K23:K33,O3:O32,S3:S33,W3:W32,AA3:AA33,AE3:AE33,AI3:AI23)</f>
        <v>48039</v>
      </c>
      <c r="H42" s="179"/>
      <c r="I42" s="179"/>
      <c r="J42" s="180">
        <f>IFERROR(F42/(F42+F43),0)</f>
        <v>0.6875760373307177</v>
      </c>
      <c r="K42" s="180">
        <f>IFERROR(G42/(G42+G43),0)</f>
        <v>0.71215310721062619</v>
      </c>
      <c r="L42" s="179"/>
      <c r="M42" s="259" t="s">
        <v>600</v>
      </c>
      <c r="N42" s="257">
        <v>15</v>
      </c>
      <c r="Y42" s="99"/>
      <c r="AK42" s="211" t="s">
        <v>478</v>
      </c>
      <c r="AL42" s="47">
        <f>MAX(B34,F34,J34,N34,R34,V34,Z34,AD34,AH34,AL34,AP34,AT34)</f>
        <v>875.8599999999999</v>
      </c>
      <c r="AM42" s="212">
        <f>MAX(C34,G34,K34,O34,S34,W34,AA34,AE34,AI34,AM34,AQ34,AU34)</f>
        <v>9324</v>
      </c>
      <c r="AN42" s="49" t="s">
        <v>346</v>
      </c>
      <c r="AO42" s="210" t="s">
        <v>344</v>
      </c>
      <c r="AP42" s="54">
        <f>R1-'08'!O1</f>
        <v>-51.149999999999977</v>
      </c>
      <c r="AQ42" s="78">
        <f>AF1-'08'!W1</f>
        <v>499</v>
      </c>
      <c r="AR42" s="49" t="s">
        <v>345</v>
      </c>
      <c r="AS42" s="209" t="s">
        <v>344</v>
      </c>
      <c r="AT42" s="54">
        <f>I1-'08'!G1</f>
        <v>-75.56</v>
      </c>
      <c r="AU42" s="78">
        <f>AN1-'08'!AE1</f>
        <v>110</v>
      </c>
      <c r="AV42" s="49" t="s">
        <v>346</v>
      </c>
      <c r="AW42" s="100"/>
    </row>
    <row r="43" spans="1:49" x14ac:dyDescent="0.2">
      <c r="A43" s="52" t="s">
        <v>215</v>
      </c>
      <c r="B43" s="86">
        <f>E1/365</f>
        <v>18.488575342465754</v>
      </c>
      <c r="C43" s="87">
        <f>AU1/365</f>
        <v>184.81095890410958</v>
      </c>
      <c r="D43" s="88"/>
      <c r="E43" s="172" t="s">
        <v>400</v>
      </c>
      <c r="F43" s="173">
        <f>E1-F42</f>
        <v>2108.3399999999974</v>
      </c>
      <c r="G43" s="174">
        <f>AU1-G42</f>
        <v>19417</v>
      </c>
      <c r="H43" s="175"/>
      <c r="I43" s="175"/>
      <c r="J43" s="181">
        <f>IFERROR(F43/(F42+F43),0)</f>
        <v>0.31242396266928224</v>
      </c>
      <c r="K43" s="181">
        <f>IFERROR(G43/(G42+G43),0)</f>
        <v>0.28784689278937381</v>
      </c>
      <c r="L43" s="175"/>
      <c r="M43" s="65" t="s">
        <v>601</v>
      </c>
      <c r="N43" s="258">
        <v>6</v>
      </c>
      <c r="Y43" s="100"/>
      <c r="AK43" s="213" t="s">
        <v>481</v>
      </c>
      <c r="AL43" s="188">
        <f>IF($B$1&lt;&gt;0,$AV$35/$B1,0)</f>
        <v>8.2899244801469901E-2</v>
      </c>
      <c r="AO43" s="209"/>
      <c r="AP43" s="54"/>
      <c r="AQ43" s="188"/>
      <c r="AR43" s="49"/>
      <c r="AS43" s="209" t="s">
        <v>344</v>
      </c>
      <c r="AT43" s="54">
        <f>B1-'08'!C1</f>
        <v>-150.01000000000204</v>
      </c>
      <c r="AU43" s="78">
        <f>AU1-'08'!AI1</f>
        <v>-2844</v>
      </c>
      <c r="AV43" s="49" t="s">
        <v>347</v>
      </c>
      <c r="AW43" s="100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35" priority="149" stopIfTrue="1" operator="lessThan">
      <formula>50</formula>
    </cfRule>
    <cfRule type="cellIs" dxfId="834" priority="150" stopIfTrue="1" operator="greaterThanOrEqual">
      <formula>100</formula>
    </cfRule>
    <cfRule type="cellIs" dxfId="833" priority="151" operator="greaterThanOrEqual">
      <formula>50</formula>
    </cfRule>
  </conditionalFormatting>
  <conditionalFormatting sqref="F34 J34 N34 R34 V34 Z34 AD34 AH34 AL34 AP34 AT34">
    <cfRule type="cellIs" dxfId="832" priority="397" operator="equal">
      <formula>$R$1</formula>
    </cfRule>
    <cfRule type="cellIs" dxfId="831" priority="398" operator="equal">
      <formula>$M$1</formula>
    </cfRule>
  </conditionalFormatting>
  <conditionalFormatting sqref="C34 G34 K34 O34 S34 W34 AA34 AE34 AI34 AM34 AQ34 AU34">
    <cfRule type="cellIs" dxfId="830" priority="629" operator="equal">
      <formula>$AF$1</formula>
    </cfRule>
    <cfRule type="cellIs" dxfId="829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28" priority="142" operator="lessThan">
      <formula>0</formula>
    </cfRule>
    <cfRule type="cellIs" dxfId="827" priority="143" operator="greaterThanOrEqual">
      <formula>0</formula>
    </cfRule>
  </conditionalFormatting>
  <conditionalFormatting sqref="C38 G38 K38 O38 S38 W38 AA38 AE38 AI38 AM38 AQ38 AU38">
    <cfRule type="cellIs" dxfId="826" priority="140" operator="lessThan">
      <formula>0</formula>
    </cfRule>
    <cfRule type="cellIs" dxfId="825" priority="141" operator="greaterThanOrEqual">
      <formula>0</formula>
    </cfRule>
  </conditionalFormatting>
  <conditionalFormatting sqref="B3:B33 F3:F33 J3:J33 N3:N33 R3:R33 V3:V33 Z3:Z33 AD3:AD33 AH3:AH33 AL3:AL33 AP3:AP33 AT3:AT33">
    <cfRule type="cellIs" dxfId="824" priority="164" stopIfTrue="1" operator="lessThan">
      <formula>50</formula>
    </cfRule>
    <cfRule type="cellIs" dxfId="823" priority="165" stopIfTrue="1" operator="greaterThanOrEqual">
      <formula>100</formula>
    </cfRule>
    <cfRule type="cellIs" dxfId="822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21" priority="161" stopIfTrue="1" operator="between">
      <formula>0</formula>
      <formula>749.99</formula>
    </cfRule>
    <cfRule type="cellIs" dxfId="820" priority="162" stopIfTrue="1" operator="greaterThanOrEqual">
      <formula>1500</formula>
    </cfRule>
    <cfRule type="cellIs" dxfId="819" priority="163" operator="greaterThanOrEqual">
      <formula>750</formula>
    </cfRule>
  </conditionalFormatting>
  <conditionalFormatting sqref="AT42:AU43">
    <cfRule type="cellIs" dxfId="818" priority="113" operator="lessThan">
      <formula>0</formula>
    </cfRule>
    <cfRule type="cellIs" dxfId="817" priority="114" operator="greaterThanOrEqual">
      <formula>0</formula>
    </cfRule>
  </conditionalFormatting>
  <conditionalFormatting sqref="AU42:AU43">
    <cfRule type="cellIs" dxfId="816" priority="111" operator="lessThan">
      <formula>0</formula>
    </cfRule>
    <cfRule type="cellIs" dxfId="815" priority="112" operator="greaterThanOrEqual">
      <formula>0</formula>
    </cfRule>
  </conditionalFormatting>
  <conditionalFormatting sqref="D38">
    <cfRule type="cellIs" dxfId="814" priority="110" operator="equal">
      <formula>MAX($D$38,$H$38,$L$38,$P$38,$T$38,$X$38,$AB$38,$AF$38,$AJ$38,$AN$38,$AR$38,$AV$38)</formula>
    </cfRule>
  </conditionalFormatting>
  <conditionalFormatting sqref="H38">
    <cfRule type="cellIs" dxfId="813" priority="109" operator="equal">
      <formula>MAX($D$38,$H$38,$L$38,$P$38,$T$38,$X$38,$AB$38,$AF$38,$AJ$38,$AN$38,$AR$38,$AV$38)</formula>
    </cfRule>
  </conditionalFormatting>
  <conditionalFormatting sqref="L38">
    <cfRule type="cellIs" dxfId="812" priority="108" operator="equal">
      <formula>MAX($D$38,$H$38,$L$38,$P$38,$T$38,$X$38,$AB$38,$AF$38,$AJ$38,$AN$38,$AR$38,$AV$38)</formula>
    </cfRule>
  </conditionalFormatting>
  <conditionalFormatting sqref="P38">
    <cfRule type="cellIs" dxfId="811" priority="107" operator="equal">
      <formula>MAX($D$38,$H$38,$L$38,$P$38,$T$38,$X$38,$AB$38,$AF$38,$AJ$38,$AN$38,$AR$38,$AV$38)</formula>
    </cfRule>
  </conditionalFormatting>
  <conditionalFormatting sqref="T38">
    <cfRule type="cellIs" dxfId="810" priority="106" operator="equal">
      <formula>MAX($D$38,$H$38,$L$38,$P$38,$T$38,$X$38,$AB$38,$AF$38,$AJ$38,$AN$38,$AR$38,$AV$38)</formula>
    </cfRule>
  </conditionalFormatting>
  <conditionalFormatting sqref="X38">
    <cfRule type="cellIs" dxfId="809" priority="105" operator="equal">
      <formula>MAX($D$38,$H$38,$L$38,$P$38,$T$38,$X$38,$AB$38,$AF$38,$AJ$38,$AN$38,$AR$38,$AV$38)</formula>
    </cfRule>
  </conditionalFormatting>
  <conditionalFormatting sqref="AB38">
    <cfRule type="cellIs" dxfId="808" priority="104" operator="equal">
      <formula>MAX($D$38,$H$38,$L$38,$P$38,$T$38,$X$38,$AB$38,$AF$38,$AJ$38,$AN$38,$AR$38,$AV$38)</formula>
    </cfRule>
  </conditionalFormatting>
  <conditionalFormatting sqref="AF38">
    <cfRule type="cellIs" dxfId="807" priority="103" operator="equal">
      <formula>MAX($D$38,$H$38,$L$38,$P$38,$T$38,$X$38,$AB$38,$AF$38,$AJ$38,$AN$38,$AR$38,$AV$38)</formula>
    </cfRule>
  </conditionalFormatting>
  <conditionalFormatting sqref="AJ38">
    <cfRule type="cellIs" dxfId="806" priority="102" operator="equal">
      <formula>MAX($D$38,$H$38,$L$38,$P$38,$T$38,$X$38,$AB$38,$AF$38,$AJ$38,$AN$38,$AR$38,$AV$38)</formula>
    </cfRule>
  </conditionalFormatting>
  <conditionalFormatting sqref="AN38">
    <cfRule type="cellIs" dxfId="805" priority="101" operator="equal">
      <formula>MAX($D$38,$H$38,$L$38,$P$38,$T$38,$X$38,$AB$38,$AF$38,$AJ$38,$AN$38,$AR$38,$AV$38)</formula>
    </cfRule>
  </conditionalFormatting>
  <conditionalFormatting sqref="AR38">
    <cfRule type="cellIs" dxfId="804" priority="100" operator="equal">
      <formula>MAX($D$38,$H$38,$L$38,$P$38,$T$38,$X$38,$AB$38,$AF$38,$AJ$38,$AN$38,$AR$38,$AV$38)</formula>
    </cfRule>
  </conditionalFormatting>
  <conditionalFormatting sqref="AV38">
    <cfRule type="cellIs" dxfId="803" priority="99" operator="equal">
      <formula>MAX($D$38,$H$38,$L$38,$P$38,$T$38,$X$38,$AB$38,$AF$38,$AJ$38,$AN$38,$AR$38,$AV$38)</formula>
    </cfRule>
  </conditionalFormatting>
  <conditionalFormatting sqref="D34">
    <cfRule type="cellIs" dxfId="802" priority="98" operator="equal">
      <formula>MAX($D$34,$H$34,$L$34,$P$34,$T$34,$X$34,$AB$34,$AF$34,$AJ$34,$AN$34,$AR$34,$AV$34)</formula>
    </cfRule>
  </conditionalFormatting>
  <conditionalFormatting sqref="D38">
    <cfRule type="cellIs" dxfId="801" priority="91" operator="equal">
      <formula>MAX($D$38,$H$38,$L$38,$P$38,$T$38,$X$38,$AB$38,$AF$38,$AJ$38,$AN$38,$AR$38,$AV$38)</formula>
    </cfRule>
  </conditionalFormatting>
  <conditionalFormatting sqref="D3:D33">
    <cfRule type="cellIs" dxfId="800" priority="88" stopIfTrue="1" operator="between">
      <formula>0</formula>
      <formula>0.0416550925925926</formula>
    </cfRule>
    <cfRule type="cellIs" dxfId="799" priority="89" stopIfTrue="1" operator="between">
      <formula>0.0416666666666667</formula>
      <formula>0.0833217592592593</formula>
    </cfRule>
    <cfRule type="cellIs" dxfId="798" priority="90" stopIfTrue="1" operator="between">
      <formula>0.0833333333333333</formula>
      <formula>4.16665509259259</formula>
    </cfRule>
  </conditionalFormatting>
  <conditionalFormatting sqref="H3:H33">
    <cfRule type="cellIs" dxfId="797" priority="85" stopIfTrue="1" operator="between">
      <formula>0</formula>
      <formula>0.0416550925925926</formula>
    </cfRule>
    <cfRule type="cellIs" dxfId="796" priority="86" stopIfTrue="1" operator="between">
      <formula>0.0416666666666667</formula>
      <formula>0.0833217592592593</formula>
    </cfRule>
    <cfRule type="cellIs" dxfId="795" priority="87" stopIfTrue="1" operator="between">
      <formula>0.0833333333333333</formula>
      <formula>4.16665509259259</formula>
    </cfRule>
  </conditionalFormatting>
  <conditionalFormatting sqref="L3:L33">
    <cfRule type="cellIs" dxfId="794" priority="82" stopIfTrue="1" operator="between">
      <formula>0</formula>
      <formula>0.0416550925925926</formula>
    </cfRule>
    <cfRule type="cellIs" dxfId="793" priority="83" stopIfTrue="1" operator="between">
      <formula>0.0416666666666667</formula>
      <formula>0.0833217592592593</formula>
    </cfRule>
    <cfRule type="cellIs" dxfId="792" priority="84" stopIfTrue="1" operator="between">
      <formula>0.0833333333333333</formula>
      <formula>4.16665509259259</formula>
    </cfRule>
  </conditionalFormatting>
  <conditionalFormatting sqref="P3:P33">
    <cfRule type="cellIs" dxfId="791" priority="79" stopIfTrue="1" operator="between">
      <formula>0</formula>
      <formula>0.0416550925925926</formula>
    </cfRule>
    <cfRule type="cellIs" dxfId="790" priority="80" stopIfTrue="1" operator="between">
      <formula>0.0416666666666667</formula>
      <formula>0.0833217592592593</formula>
    </cfRule>
    <cfRule type="cellIs" dxfId="789" priority="81" stopIfTrue="1" operator="between">
      <formula>0.0833333333333333</formula>
      <formula>4.16665509259259</formula>
    </cfRule>
  </conditionalFormatting>
  <conditionalFormatting sqref="T3:T33">
    <cfRule type="cellIs" dxfId="788" priority="76" stopIfTrue="1" operator="between">
      <formula>0</formula>
      <formula>0.0416550925925926</formula>
    </cfRule>
    <cfRule type="cellIs" dxfId="787" priority="77" stopIfTrue="1" operator="between">
      <formula>0.0416666666666667</formula>
      <formula>0.0833217592592593</formula>
    </cfRule>
    <cfRule type="cellIs" dxfId="786" priority="78" stopIfTrue="1" operator="between">
      <formula>0.0833333333333333</formula>
      <formula>4.16665509259259</formula>
    </cfRule>
  </conditionalFormatting>
  <conditionalFormatting sqref="X3:X33">
    <cfRule type="cellIs" dxfId="785" priority="73" stopIfTrue="1" operator="between">
      <formula>0</formula>
      <formula>0.0416550925925926</formula>
    </cfRule>
    <cfRule type="cellIs" dxfId="784" priority="74" stopIfTrue="1" operator="between">
      <formula>0.0416666666666667</formula>
      <formula>0.0833217592592593</formula>
    </cfRule>
    <cfRule type="cellIs" dxfId="783" priority="75" stopIfTrue="1" operator="between">
      <formula>0.0833333333333333</formula>
      <formula>4.16665509259259</formula>
    </cfRule>
  </conditionalFormatting>
  <conditionalFormatting sqref="AB3:AB33">
    <cfRule type="cellIs" dxfId="782" priority="70" stopIfTrue="1" operator="between">
      <formula>0</formula>
      <formula>0.0416550925925926</formula>
    </cfRule>
    <cfRule type="cellIs" dxfId="781" priority="71" stopIfTrue="1" operator="between">
      <formula>0.0416666666666667</formula>
      <formula>0.0833217592592593</formula>
    </cfRule>
    <cfRule type="cellIs" dxfId="780" priority="72" stopIfTrue="1" operator="between">
      <formula>0.0833333333333333</formula>
      <formula>4.16665509259259</formula>
    </cfRule>
  </conditionalFormatting>
  <conditionalFormatting sqref="AF3:AF33">
    <cfRule type="cellIs" dxfId="779" priority="67" stopIfTrue="1" operator="between">
      <formula>0</formula>
      <formula>0.0416550925925926</formula>
    </cfRule>
    <cfRule type="cellIs" dxfId="778" priority="68" stopIfTrue="1" operator="between">
      <formula>0.0416666666666667</formula>
      <formula>0.0833217592592593</formula>
    </cfRule>
    <cfRule type="cellIs" dxfId="777" priority="69" stopIfTrue="1" operator="between">
      <formula>0.0833333333333333</formula>
      <formula>4.16665509259259</formula>
    </cfRule>
  </conditionalFormatting>
  <conditionalFormatting sqref="AJ3:AJ33">
    <cfRule type="cellIs" dxfId="776" priority="64" stopIfTrue="1" operator="between">
      <formula>0</formula>
      <formula>0.0416550925925926</formula>
    </cfRule>
    <cfRule type="cellIs" dxfId="775" priority="65" stopIfTrue="1" operator="between">
      <formula>0.0416666666666667</formula>
      <formula>0.0833217592592593</formula>
    </cfRule>
    <cfRule type="cellIs" dxfId="774" priority="66" stopIfTrue="1" operator="between">
      <formula>0.0833333333333333</formula>
      <formula>4.16665509259259</formula>
    </cfRule>
  </conditionalFormatting>
  <conditionalFormatting sqref="AN3:AN33">
    <cfRule type="cellIs" dxfId="773" priority="61" stopIfTrue="1" operator="between">
      <formula>0</formula>
      <formula>0.0416550925925926</formula>
    </cfRule>
    <cfRule type="cellIs" dxfId="772" priority="62" stopIfTrue="1" operator="between">
      <formula>0.0416666666666667</formula>
      <formula>0.0833217592592593</formula>
    </cfRule>
    <cfRule type="cellIs" dxfId="771" priority="63" stopIfTrue="1" operator="between">
      <formula>0.0833333333333333</formula>
      <formula>4.16665509259259</formula>
    </cfRule>
  </conditionalFormatting>
  <conditionalFormatting sqref="AR3:AR33">
    <cfRule type="cellIs" dxfId="770" priority="58" stopIfTrue="1" operator="between">
      <formula>0</formula>
      <formula>0.0416550925925926</formula>
    </cfRule>
    <cfRule type="cellIs" dxfId="769" priority="59" stopIfTrue="1" operator="between">
      <formula>0.0416666666666667</formula>
      <formula>0.0833217592592593</formula>
    </cfRule>
    <cfRule type="cellIs" dxfId="768" priority="60" stopIfTrue="1" operator="between">
      <formula>0.0833333333333333</formula>
      <formula>4.16665509259259</formula>
    </cfRule>
  </conditionalFormatting>
  <conditionalFormatting sqref="AV3:AV33">
    <cfRule type="cellIs" dxfId="767" priority="55" stopIfTrue="1" operator="between">
      <formula>0</formula>
      <formula>0.0416550925925926</formula>
    </cfRule>
    <cfRule type="cellIs" dxfId="766" priority="56" stopIfTrue="1" operator="between">
      <formula>0.0416666666666667</formula>
      <formula>0.0833217592592593</formula>
    </cfRule>
    <cfRule type="cellIs" dxfId="765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64" priority="42" operator="equal">
      <formula>MAX($D$36,$H$36,$L$36,$P$36,$T$36,$X$36,$AB$36,$AF$36,$AJ$36,$AN$36,$AR$36,$AV$36)</formula>
    </cfRule>
  </conditionalFormatting>
  <conditionalFormatting sqref="AP42:AQ42">
    <cfRule type="cellIs" dxfId="763" priority="40" operator="lessThan">
      <formula>0</formula>
    </cfRule>
    <cfRule type="cellIs" dxfId="762" priority="41" operator="greaterThanOrEqual">
      <formula>0</formula>
    </cfRule>
  </conditionalFormatting>
  <conditionalFormatting sqref="AQ42">
    <cfRule type="cellIs" dxfId="761" priority="38" operator="lessThan">
      <formula>0</formula>
    </cfRule>
    <cfRule type="cellIs" dxfId="760" priority="39" operator="greaterThanOrEqual">
      <formula>0</formula>
    </cfRule>
  </conditionalFormatting>
  <conditionalFormatting sqref="AP43">
    <cfRule type="cellIs" dxfId="759" priority="36" operator="lessThan">
      <formula>0</formula>
    </cfRule>
    <cfRule type="cellIs" dxfId="758" priority="37" operator="greaterThanOrEqual">
      <formula>0</formula>
    </cfRule>
  </conditionalFormatting>
  <conditionalFormatting sqref="B34">
    <cfRule type="cellIs" dxfId="757" priority="34" operator="equal">
      <formula>$O$1</formula>
    </cfRule>
    <cfRule type="cellIs" dxfId="756" priority="35" operator="equal">
      <formula>$K$1</formula>
    </cfRule>
  </conditionalFormatting>
  <conditionalFormatting sqref="AL42">
    <cfRule type="cellIs" dxfId="755" priority="23" stopIfTrue="1" operator="lessThan">
      <formula>1000</formula>
    </cfRule>
    <cfRule type="cellIs" dxfId="754" priority="24" stopIfTrue="1" operator="lessThan">
      <formula>1100</formula>
    </cfRule>
    <cfRule type="cellIs" dxfId="753" priority="25" stopIfTrue="1" operator="lessThan">
      <formula>9999</formula>
    </cfRule>
  </conditionalFormatting>
  <conditionalFormatting sqref="AM42">
    <cfRule type="cellIs" dxfId="752" priority="20" stopIfTrue="1" operator="lessThan">
      <formula>10000</formula>
    </cfRule>
    <cfRule type="cellIs" dxfId="751" priority="21" stopIfTrue="1" operator="lessThan">
      <formula>13000</formula>
    </cfRule>
    <cfRule type="cellIs" dxfId="750" priority="22" stopIfTrue="1" operator="lessThan">
      <formula>99999</formula>
    </cfRule>
  </conditionalFormatting>
  <conditionalFormatting sqref="AL43">
    <cfRule type="cellIs" dxfId="749" priority="14" stopIfTrue="1" operator="lessThan">
      <formula>0.05</formula>
    </cfRule>
    <cfRule type="cellIs" dxfId="748" priority="15" stopIfTrue="1" operator="lessThan">
      <formula>0.1</formula>
    </cfRule>
    <cfRule type="cellIs" dxfId="747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1" bestFit="1" customWidth="1"/>
  </cols>
  <sheetData>
    <row r="1" spans="1:13" s="30" customFormat="1" x14ac:dyDescent="0.2">
      <c r="A1" s="161" t="s">
        <v>55</v>
      </c>
      <c r="B1" s="22" t="s">
        <v>0</v>
      </c>
      <c r="C1" s="306" t="s">
        <v>238</v>
      </c>
      <c r="D1" s="21" t="s">
        <v>2</v>
      </c>
      <c r="E1" s="23" t="s">
        <v>237</v>
      </c>
      <c r="F1" s="21" t="s">
        <v>24</v>
      </c>
      <c r="G1" s="21" t="s">
        <v>1</v>
      </c>
      <c r="H1" s="24" t="s">
        <v>3</v>
      </c>
      <c r="I1" s="25" t="s">
        <v>22</v>
      </c>
      <c r="J1" s="2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9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393</v>
      </c>
      <c r="I12" s="18">
        <f t="shared" si="0"/>
        <v>1.9501950195019502E-3</v>
      </c>
      <c r="M12" s="41"/>
    </row>
    <row r="13" spans="1:13" x14ac:dyDescent="0.2">
      <c r="A13" s="1" t="s">
        <v>123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9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9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2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1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9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9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5378.7300000000005</v>
      </c>
      <c r="C1" s="382"/>
      <c r="D1" s="83" t="s">
        <v>238</v>
      </c>
      <c r="E1" s="383">
        <f>AT35</f>
        <v>4457.93</v>
      </c>
      <c r="F1" s="383"/>
      <c r="G1" s="384" t="s">
        <v>152</v>
      </c>
      <c r="H1" s="384"/>
      <c r="I1" s="380">
        <f>MAX(B36,F36,J36,N36,R36,V36,Z36,AD36,AH36,AL36,AP36,AT36)</f>
        <v>125.31</v>
      </c>
      <c r="J1" s="380"/>
      <c r="K1" s="385" t="s">
        <v>159</v>
      </c>
      <c r="L1" s="385"/>
      <c r="M1" s="386">
        <f>MAX(B34,F34,J34,N34,R34,V34,Z34,AD34,AH34,AL34,AP34,AT34)</f>
        <v>666.43000000000006</v>
      </c>
      <c r="N1" s="386"/>
      <c r="O1" s="379" t="s">
        <v>190</v>
      </c>
      <c r="P1" s="379"/>
      <c r="Q1" s="379"/>
      <c r="R1" s="149">
        <f>MIN(B34,F34,J34,N34,R34,V34,Z34,AD34,AH34,AL34,AP34,AT34)</f>
        <v>33.25</v>
      </c>
      <c r="S1" s="84" t="s">
        <v>207</v>
      </c>
      <c r="T1" s="372">
        <f>IFERROR(AVERAGE(B37,F37,J37,N37,R37,V37,Z37,AD37,AH37,AL37,AP37,AT37),0)</f>
        <v>21.826653316809644</v>
      </c>
      <c r="U1" s="372"/>
      <c r="V1" s="387" t="s">
        <v>328</v>
      </c>
      <c r="W1" s="387"/>
      <c r="X1" s="387"/>
      <c r="Y1" s="387"/>
      <c r="Z1" s="387"/>
      <c r="AA1" s="85" t="s">
        <v>207</v>
      </c>
      <c r="AB1" s="381">
        <f>IFERROR(AVERAGE(C37,G37,K37,O37,S37,W37,AA37,AE37,AI37,AM37,AQ37,AU37),0)</f>
        <v>180.7417338841891</v>
      </c>
      <c r="AC1" s="381"/>
      <c r="AD1" s="371" t="s">
        <v>190</v>
      </c>
      <c r="AE1" s="371"/>
      <c r="AF1" s="374">
        <f>MIN(C34,G34,K34,O34,S34,W34,AA34,AE34,AI34,AM34,AQ34,AU34)</f>
        <v>118</v>
      </c>
      <c r="AG1" s="374"/>
      <c r="AH1" s="375" t="s">
        <v>159</v>
      </c>
      <c r="AI1" s="375"/>
      <c r="AJ1" s="376">
        <f>MAX(C34,G34,K34,O34,S34,W34,AA34,AE34,AI34,AM34,AQ34,AU34)</f>
        <v>7846</v>
      </c>
      <c r="AK1" s="376"/>
      <c r="AL1" s="378" t="s">
        <v>153</v>
      </c>
      <c r="AM1" s="378"/>
      <c r="AN1" s="377">
        <f>MAX(C36,G36,K36,O36,S36,W36,AA36,AE36,AI36,AM36,AQ36,AU36)</f>
        <v>2170</v>
      </c>
      <c r="AO1" s="377"/>
      <c r="AP1" s="367" t="s">
        <v>361</v>
      </c>
      <c r="AQ1" s="367"/>
      <c r="AR1" s="368">
        <f>MAX(D36,H36,L36,P36,T36,X36,AB36,AF36,AJ36,AN36,AR36,AV36)</f>
        <v>9.0277777777777776E-2</v>
      </c>
      <c r="AS1" s="368"/>
      <c r="AT1" s="81" t="s">
        <v>2</v>
      </c>
      <c r="AU1" s="369">
        <f>AU35</f>
        <v>38191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10.73</v>
      </c>
      <c r="C3" s="55">
        <v>25</v>
      </c>
      <c r="D3" s="150"/>
      <c r="E3" s="75">
        <v>1</v>
      </c>
      <c r="F3" s="54"/>
      <c r="G3" s="55"/>
      <c r="H3" s="150">
        <v>8.3333333333333329E-2</v>
      </c>
      <c r="I3" s="75">
        <v>1</v>
      </c>
      <c r="J3" s="54">
        <v>12.01</v>
      </c>
      <c r="K3" s="55">
        <v>100</v>
      </c>
      <c r="L3" s="150"/>
      <c r="M3" s="75">
        <v>1</v>
      </c>
      <c r="N3" s="54">
        <v>20.76</v>
      </c>
      <c r="O3" s="55">
        <v>10</v>
      </c>
      <c r="P3" s="150"/>
      <c r="Q3" s="75">
        <v>1</v>
      </c>
      <c r="R3" s="54"/>
      <c r="S3" s="55"/>
      <c r="T3" s="150"/>
      <c r="U3" s="75">
        <v>1</v>
      </c>
      <c r="V3" s="54"/>
      <c r="W3" s="55"/>
      <c r="X3" s="150"/>
      <c r="Y3" s="75">
        <v>1</v>
      </c>
      <c r="Z3" s="54"/>
      <c r="AA3" s="55"/>
      <c r="AB3" s="150"/>
      <c r="AC3" s="75">
        <v>1</v>
      </c>
      <c r="AD3" s="54">
        <v>17</v>
      </c>
      <c r="AE3" s="55">
        <v>45</v>
      </c>
      <c r="AF3" s="150"/>
      <c r="AG3" s="75">
        <v>1</v>
      </c>
      <c r="AH3" s="54">
        <v>16.2</v>
      </c>
      <c r="AI3" s="55">
        <v>182</v>
      </c>
      <c r="AJ3" s="150"/>
      <c r="AK3" s="75">
        <v>1</v>
      </c>
      <c r="AL3" s="54"/>
      <c r="AM3" s="55"/>
      <c r="AN3" s="150"/>
      <c r="AO3" s="75">
        <v>1</v>
      </c>
      <c r="AP3" s="54">
        <v>11</v>
      </c>
      <c r="AQ3" s="55">
        <v>5</v>
      </c>
      <c r="AR3" s="150">
        <v>4.1666666666666664E-2</v>
      </c>
      <c r="AS3" s="75">
        <v>1</v>
      </c>
      <c r="AT3" s="54"/>
      <c r="AU3" s="55"/>
      <c r="AV3" s="150"/>
      <c r="AW3" s="67"/>
    </row>
    <row r="4" spans="1:49" s="49" customFormat="1" ht="11.25" x14ac:dyDescent="0.2">
      <c r="A4" s="73">
        <f>A3+1</f>
        <v>2</v>
      </c>
      <c r="B4" s="54"/>
      <c r="C4" s="55"/>
      <c r="D4" s="150"/>
      <c r="E4" s="75">
        <f>E3+1</f>
        <v>2</v>
      </c>
      <c r="F4" s="54"/>
      <c r="G4" s="55"/>
      <c r="H4" s="150"/>
      <c r="I4" s="75">
        <f>I3+1</f>
        <v>2</v>
      </c>
      <c r="J4" s="54">
        <v>13</v>
      </c>
      <c r="K4" s="55">
        <v>346</v>
      </c>
      <c r="L4" s="150"/>
      <c r="M4" s="75">
        <f>M3+1</f>
        <v>2</v>
      </c>
      <c r="N4" s="54">
        <v>43.62</v>
      </c>
      <c r="O4" s="55">
        <v>475</v>
      </c>
      <c r="P4" s="150"/>
      <c r="Q4" s="75">
        <f>Q3+1</f>
        <v>2</v>
      </c>
      <c r="R4" s="54"/>
      <c r="S4" s="55"/>
      <c r="T4" s="150"/>
      <c r="U4" s="75">
        <f>U3+1</f>
        <v>2</v>
      </c>
      <c r="V4" s="54"/>
      <c r="W4" s="55"/>
      <c r="X4" s="150"/>
      <c r="Y4" s="75">
        <f>Y3+1</f>
        <v>2</v>
      </c>
      <c r="Z4" s="54"/>
      <c r="AA4" s="55"/>
      <c r="AB4" s="150"/>
      <c r="AC4" s="75">
        <f>AC3+1</f>
        <v>2</v>
      </c>
      <c r="AD4" s="54"/>
      <c r="AE4" s="55"/>
      <c r="AF4" s="150"/>
      <c r="AG4" s="75">
        <f>AG3+1</f>
        <v>2</v>
      </c>
      <c r="AH4" s="54">
        <v>10.4</v>
      </c>
      <c r="AI4" s="55">
        <v>15</v>
      </c>
      <c r="AJ4" s="150"/>
      <c r="AK4" s="75">
        <f>AK3+1</f>
        <v>2</v>
      </c>
      <c r="AL4" s="54"/>
      <c r="AM4" s="55"/>
      <c r="AN4" s="150"/>
      <c r="AO4" s="75">
        <f>AO3+1</f>
        <v>2</v>
      </c>
      <c r="AP4" s="54"/>
      <c r="AQ4" s="55"/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50">
        <v>2.0833333333333332E-2</v>
      </c>
      <c r="E5" s="75">
        <f t="shared" ref="E5:E30" si="1">E4+1</f>
        <v>3</v>
      </c>
      <c r="F5" s="54"/>
      <c r="G5" s="55"/>
      <c r="H5" s="150"/>
      <c r="I5" s="75">
        <f t="shared" ref="I5:I33" si="2">I4+1</f>
        <v>3</v>
      </c>
      <c r="J5" s="54"/>
      <c r="K5" s="55"/>
      <c r="L5" s="150"/>
      <c r="M5" s="75">
        <f t="shared" ref="M5:M32" si="3">M4+1</f>
        <v>3</v>
      </c>
      <c r="N5" s="54">
        <v>35.07</v>
      </c>
      <c r="O5" s="55">
        <v>100</v>
      </c>
      <c r="P5" s="150"/>
      <c r="Q5" s="75">
        <f t="shared" ref="Q5:Q33" si="4">Q4+1</f>
        <v>3</v>
      </c>
      <c r="R5" s="54">
        <v>11.13</v>
      </c>
      <c r="S5" s="55">
        <v>2</v>
      </c>
      <c r="T5" s="150"/>
      <c r="U5" s="75">
        <f t="shared" ref="U5:U32" si="5">U4+1</f>
        <v>3</v>
      </c>
      <c r="V5" s="54">
        <v>25.82</v>
      </c>
      <c r="W5" s="55">
        <v>153</v>
      </c>
      <c r="X5" s="150"/>
      <c r="Y5" s="75">
        <f t="shared" ref="Y5:Y33" si="6">Y4+1</f>
        <v>3</v>
      </c>
      <c r="Z5" s="54">
        <v>16.850000000000001</v>
      </c>
      <c r="AA5" s="55">
        <v>536</v>
      </c>
      <c r="AB5" s="150"/>
      <c r="AC5" s="75">
        <f t="shared" ref="AC5:AC33" si="7">AC4+1</f>
        <v>3</v>
      </c>
      <c r="AD5" s="54"/>
      <c r="AE5" s="55"/>
      <c r="AF5" s="150"/>
      <c r="AG5" s="75">
        <f t="shared" ref="AG5:AG32" si="8">AG4+1</f>
        <v>3</v>
      </c>
      <c r="AH5" s="54">
        <v>22.5</v>
      </c>
      <c r="AI5" s="55">
        <v>110</v>
      </c>
      <c r="AJ5" s="150"/>
      <c r="AK5" s="75">
        <f t="shared" ref="AK5:AK33" si="9">AK4+1</f>
        <v>3</v>
      </c>
      <c r="AL5" s="54">
        <v>40.76</v>
      </c>
      <c r="AM5" s="55">
        <v>96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>
        <v>2.0833333333333332E-2</v>
      </c>
      <c r="AW5" s="67"/>
    </row>
    <row r="6" spans="1:49" s="49" customFormat="1" ht="11.25" x14ac:dyDescent="0.2">
      <c r="A6" s="73">
        <f t="shared" si="0"/>
        <v>4</v>
      </c>
      <c r="B6" s="54">
        <v>9.5299999999999994</v>
      </c>
      <c r="C6" s="55">
        <v>30</v>
      </c>
      <c r="D6" s="150">
        <v>2.4305555555555556E-2</v>
      </c>
      <c r="E6" s="75">
        <f t="shared" si="1"/>
        <v>4</v>
      </c>
      <c r="F6" s="54">
        <v>10.78</v>
      </c>
      <c r="G6" s="55">
        <v>2</v>
      </c>
      <c r="H6" s="150"/>
      <c r="I6" s="75">
        <f t="shared" si="2"/>
        <v>4</v>
      </c>
      <c r="J6" s="54">
        <v>16.489999999999998</v>
      </c>
      <c r="K6" s="55">
        <v>70</v>
      </c>
      <c r="L6" s="150"/>
      <c r="M6" s="75">
        <f t="shared" si="3"/>
        <v>4</v>
      </c>
      <c r="N6" s="54">
        <v>48.09</v>
      </c>
      <c r="O6" s="55">
        <v>652</v>
      </c>
      <c r="P6" s="150">
        <v>2.0833333333333332E-2</v>
      </c>
      <c r="Q6" s="75">
        <f t="shared" si="4"/>
        <v>4</v>
      </c>
      <c r="R6" s="54">
        <v>15.92</v>
      </c>
      <c r="S6" s="55">
        <v>15</v>
      </c>
      <c r="T6" s="150"/>
      <c r="U6" s="75">
        <f t="shared" si="5"/>
        <v>4</v>
      </c>
      <c r="V6" s="54"/>
      <c r="W6" s="55"/>
      <c r="X6" s="150"/>
      <c r="Y6" s="75">
        <f t="shared" si="6"/>
        <v>4</v>
      </c>
      <c r="Z6" s="54">
        <v>49.36</v>
      </c>
      <c r="AA6" s="55">
        <v>611</v>
      </c>
      <c r="AB6" s="150"/>
      <c r="AC6" s="75">
        <f t="shared" si="7"/>
        <v>4</v>
      </c>
      <c r="AD6" s="54">
        <v>22.83</v>
      </c>
      <c r="AE6" s="55">
        <v>115</v>
      </c>
      <c r="AF6" s="150"/>
      <c r="AG6" s="75">
        <f t="shared" si="8"/>
        <v>4</v>
      </c>
      <c r="AH6" s="54">
        <v>48.13</v>
      </c>
      <c r="AI6" s="55">
        <v>771</v>
      </c>
      <c r="AJ6" s="150"/>
      <c r="AK6" s="75">
        <f t="shared" si="9"/>
        <v>4</v>
      </c>
      <c r="AL6" s="54">
        <v>25.66</v>
      </c>
      <c r="AM6" s="55">
        <v>25</v>
      </c>
      <c r="AN6" s="150"/>
      <c r="AO6" s="75">
        <f t="shared" si="10"/>
        <v>4</v>
      </c>
      <c r="AP6" s="54">
        <v>10</v>
      </c>
      <c r="AQ6" s="55">
        <v>5</v>
      </c>
      <c r="AR6" s="150"/>
      <c r="AS6" s="75">
        <f t="shared" si="11"/>
        <v>4</v>
      </c>
      <c r="AT6" s="54"/>
      <c r="AU6" s="55"/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/>
      <c r="G7" s="55"/>
      <c r="H7" s="150"/>
      <c r="I7" s="75">
        <f t="shared" si="2"/>
        <v>5</v>
      </c>
      <c r="J7" s="54">
        <v>14.66</v>
      </c>
      <c r="K7" s="55">
        <v>153</v>
      </c>
      <c r="L7" s="150"/>
      <c r="M7" s="75">
        <f t="shared" si="3"/>
        <v>5</v>
      </c>
      <c r="N7" s="54">
        <v>43.64</v>
      </c>
      <c r="O7" s="55">
        <v>680</v>
      </c>
      <c r="P7" s="150"/>
      <c r="Q7" s="75">
        <f t="shared" si="4"/>
        <v>5</v>
      </c>
      <c r="R7" s="54">
        <v>30.1</v>
      </c>
      <c r="S7" s="55">
        <v>31</v>
      </c>
      <c r="T7" s="150"/>
      <c r="U7" s="75">
        <f t="shared" si="5"/>
        <v>5</v>
      </c>
      <c r="V7" s="54">
        <v>10.1</v>
      </c>
      <c r="W7" s="55">
        <v>306</v>
      </c>
      <c r="X7" s="150"/>
      <c r="Y7" s="75">
        <f t="shared" si="6"/>
        <v>5</v>
      </c>
      <c r="Z7" s="54"/>
      <c r="AA7" s="55"/>
      <c r="AB7" s="150"/>
      <c r="AC7" s="75">
        <f t="shared" si="7"/>
        <v>5</v>
      </c>
      <c r="AD7" s="54"/>
      <c r="AE7" s="55"/>
      <c r="AF7" s="150"/>
      <c r="AG7" s="75">
        <f t="shared" si="8"/>
        <v>5</v>
      </c>
      <c r="AH7" s="54">
        <v>33.590000000000003</v>
      </c>
      <c r="AI7" s="55">
        <v>465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/>
      <c r="AU7" s="55"/>
      <c r="AV7" s="150"/>
      <c r="AW7" s="67"/>
    </row>
    <row r="8" spans="1:49" s="49" customFormat="1" ht="11.25" x14ac:dyDescent="0.2">
      <c r="A8" s="73">
        <f t="shared" si="0"/>
        <v>6</v>
      </c>
      <c r="B8" s="54">
        <v>11.95</v>
      </c>
      <c r="C8" s="55">
        <v>315</v>
      </c>
      <c r="D8" s="150">
        <v>6.9444444444444434E-2</v>
      </c>
      <c r="E8" s="75">
        <f t="shared" si="1"/>
        <v>6</v>
      </c>
      <c r="F8" s="54">
        <v>25.35</v>
      </c>
      <c r="G8" s="55">
        <v>25</v>
      </c>
      <c r="H8" s="150">
        <v>4.1666666666666664E-2</v>
      </c>
      <c r="I8" s="75">
        <f t="shared" si="2"/>
        <v>6</v>
      </c>
      <c r="J8" s="54"/>
      <c r="K8" s="55"/>
      <c r="L8" s="150">
        <v>4.5138888888888888E-2</v>
      </c>
      <c r="M8" s="75">
        <f t="shared" si="3"/>
        <v>6</v>
      </c>
      <c r="N8" s="54">
        <v>20.66</v>
      </c>
      <c r="O8" s="55">
        <v>91</v>
      </c>
      <c r="P8" s="150"/>
      <c r="Q8" s="75">
        <f t="shared" si="4"/>
        <v>6</v>
      </c>
      <c r="R8" s="54"/>
      <c r="S8" s="55"/>
      <c r="T8" s="150"/>
      <c r="U8" s="75">
        <f t="shared" si="5"/>
        <v>6</v>
      </c>
      <c r="V8" s="54">
        <v>16.850000000000001</v>
      </c>
      <c r="W8" s="55">
        <v>536</v>
      </c>
      <c r="X8" s="150"/>
      <c r="Y8" s="75">
        <f t="shared" si="6"/>
        <v>6</v>
      </c>
      <c r="Z8" s="54">
        <v>20.21</v>
      </c>
      <c r="AA8" s="55">
        <v>15</v>
      </c>
      <c r="AB8" s="150"/>
      <c r="AC8" s="75">
        <f t="shared" si="7"/>
        <v>6</v>
      </c>
      <c r="AD8" s="54">
        <v>19.399999999999999</v>
      </c>
      <c r="AE8" s="55">
        <v>40</v>
      </c>
      <c r="AF8" s="150"/>
      <c r="AG8" s="75">
        <f t="shared" si="8"/>
        <v>6</v>
      </c>
      <c r="AH8" s="54"/>
      <c r="AI8" s="55"/>
      <c r="AJ8" s="150"/>
      <c r="AK8" s="75">
        <f t="shared" si="9"/>
        <v>6</v>
      </c>
      <c r="AL8" s="54">
        <v>24.97</v>
      </c>
      <c r="AM8" s="55">
        <v>285</v>
      </c>
      <c r="AN8" s="150"/>
      <c r="AO8" s="75">
        <f t="shared" si="10"/>
        <v>6</v>
      </c>
      <c r="AP8" s="54"/>
      <c r="AQ8" s="55"/>
      <c r="AR8" s="150">
        <v>4.1666666666666664E-2</v>
      </c>
      <c r="AS8" s="75">
        <f t="shared" si="11"/>
        <v>6</v>
      </c>
      <c r="AT8" s="54"/>
      <c r="AU8" s="55"/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35</v>
      </c>
      <c r="G9" s="55">
        <v>435</v>
      </c>
      <c r="H9" s="150"/>
      <c r="I9" s="75">
        <f t="shared" si="2"/>
        <v>7</v>
      </c>
      <c r="J9" s="54">
        <v>50.5</v>
      </c>
      <c r="K9" s="55">
        <v>219</v>
      </c>
      <c r="L9" s="150">
        <v>4.1666666666666664E-2</v>
      </c>
      <c r="M9" s="75">
        <f t="shared" si="3"/>
        <v>7</v>
      </c>
      <c r="N9" s="54">
        <v>22.49</v>
      </c>
      <c r="O9" s="55">
        <v>172</v>
      </c>
      <c r="P9" s="150"/>
      <c r="Q9" s="75">
        <f t="shared" si="4"/>
        <v>7</v>
      </c>
      <c r="R9" s="54">
        <v>13.27</v>
      </c>
      <c r="S9" s="55">
        <v>46</v>
      </c>
      <c r="T9" s="150"/>
      <c r="U9" s="75">
        <f t="shared" si="5"/>
        <v>7</v>
      </c>
      <c r="V9" s="54">
        <v>16.850000000000001</v>
      </c>
      <c r="W9" s="55">
        <v>536</v>
      </c>
      <c r="X9" s="150"/>
      <c r="Y9" s="75">
        <f t="shared" si="6"/>
        <v>7</v>
      </c>
      <c r="Z9" s="54"/>
      <c r="AA9" s="55"/>
      <c r="AB9" s="150"/>
      <c r="AC9" s="75">
        <f t="shared" si="7"/>
        <v>7</v>
      </c>
      <c r="AD9" s="54">
        <v>12</v>
      </c>
      <c r="AE9" s="55">
        <v>2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/>
      <c r="AM9" s="55"/>
      <c r="AN9" s="150"/>
      <c r="AO9" s="75">
        <f t="shared" si="10"/>
        <v>7</v>
      </c>
      <c r="AP9" s="54">
        <v>11</v>
      </c>
      <c r="AQ9" s="55">
        <v>5</v>
      </c>
      <c r="AR9" s="150"/>
      <c r="AS9" s="75">
        <f t="shared" si="11"/>
        <v>7</v>
      </c>
      <c r="AT9" s="54"/>
      <c r="AU9" s="55"/>
      <c r="AV9" s="150">
        <v>3.125E-2</v>
      </c>
      <c r="AW9" s="67"/>
    </row>
    <row r="10" spans="1:49" s="49" customFormat="1" ht="11.25" x14ac:dyDescent="0.2">
      <c r="A10" s="73">
        <f t="shared" si="0"/>
        <v>8</v>
      </c>
      <c r="B10" s="54">
        <v>16.71</v>
      </c>
      <c r="C10" s="55">
        <v>100</v>
      </c>
      <c r="D10" s="150"/>
      <c r="E10" s="75">
        <f t="shared" si="1"/>
        <v>8</v>
      </c>
      <c r="F10" s="54">
        <v>16.28</v>
      </c>
      <c r="G10" s="55">
        <v>36</v>
      </c>
      <c r="H10" s="150"/>
      <c r="I10" s="75">
        <f t="shared" si="2"/>
        <v>8</v>
      </c>
      <c r="J10" s="54">
        <v>15.38</v>
      </c>
      <c r="K10" s="55">
        <v>40</v>
      </c>
      <c r="L10" s="150"/>
      <c r="M10" s="75">
        <f t="shared" si="3"/>
        <v>8</v>
      </c>
      <c r="N10" s="54">
        <v>9.41</v>
      </c>
      <c r="O10" s="55">
        <v>119</v>
      </c>
      <c r="P10" s="150"/>
      <c r="Q10" s="75">
        <f t="shared" si="4"/>
        <v>8</v>
      </c>
      <c r="R10" s="54">
        <v>8.61</v>
      </c>
      <c r="S10" s="55">
        <v>20</v>
      </c>
      <c r="T10" s="150"/>
      <c r="U10" s="75">
        <f t="shared" si="5"/>
        <v>8</v>
      </c>
      <c r="V10" s="54">
        <v>24.68</v>
      </c>
      <c r="W10" s="55">
        <v>20</v>
      </c>
      <c r="X10" s="150"/>
      <c r="Y10" s="75">
        <f t="shared" si="6"/>
        <v>8</v>
      </c>
      <c r="Z10" s="54">
        <v>10.33</v>
      </c>
      <c r="AA10" s="55">
        <v>15</v>
      </c>
      <c r="AB10" s="150"/>
      <c r="AC10" s="75">
        <f t="shared" si="7"/>
        <v>8</v>
      </c>
      <c r="AD10" s="54">
        <v>14</v>
      </c>
      <c r="AE10" s="55">
        <v>2</v>
      </c>
      <c r="AF10" s="150"/>
      <c r="AG10" s="75">
        <f t="shared" si="8"/>
        <v>8</v>
      </c>
      <c r="AJ10" s="150"/>
      <c r="AK10" s="75">
        <f t="shared" si="9"/>
        <v>8</v>
      </c>
      <c r="AL10" s="54">
        <v>11.27</v>
      </c>
      <c r="AM10" s="55">
        <v>292</v>
      </c>
      <c r="AN10" s="150"/>
      <c r="AO10" s="75">
        <f t="shared" si="10"/>
        <v>8</v>
      </c>
      <c r="AP10" s="54">
        <v>15.86</v>
      </c>
      <c r="AQ10" s="55">
        <v>30</v>
      </c>
      <c r="AR10" s="150"/>
      <c r="AS10" s="75">
        <f t="shared" si="11"/>
        <v>8</v>
      </c>
      <c r="AT10" s="54">
        <v>5.89</v>
      </c>
      <c r="AU10" s="55">
        <v>35</v>
      </c>
      <c r="AV10" s="150">
        <v>4.8611111111111112E-2</v>
      </c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>
        <v>2.0833333333333332E-2</v>
      </c>
      <c r="E11" s="75">
        <f t="shared" si="1"/>
        <v>9</v>
      </c>
      <c r="F11" s="54">
        <v>13.16</v>
      </c>
      <c r="G11" s="55">
        <v>35</v>
      </c>
      <c r="H11" s="150">
        <v>4.1666666666666664E-2</v>
      </c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19.670000000000002</v>
      </c>
      <c r="O11" s="55">
        <v>357</v>
      </c>
      <c r="P11" s="150"/>
      <c r="Q11" s="75">
        <f t="shared" si="4"/>
        <v>9</v>
      </c>
      <c r="R11" s="54">
        <v>9.07</v>
      </c>
      <c r="S11" s="55">
        <v>2</v>
      </c>
      <c r="T11" s="150"/>
      <c r="U11" s="75">
        <f t="shared" si="5"/>
        <v>9</v>
      </c>
      <c r="V11" s="54">
        <v>20.46</v>
      </c>
      <c r="W11" s="55">
        <v>10</v>
      </c>
      <c r="X11" s="150"/>
      <c r="Y11" s="75">
        <f t="shared" si="6"/>
        <v>9</v>
      </c>
      <c r="Z11" s="54">
        <v>19.399999999999999</v>
      </c>
      <c r="AA11" s="55">
        <v>15</v>
      </c>
      <c r="AB11" s="150"/>
      <c r="AC11" s="75">
        <f t="shared" si="7"/>
        <v>9</v>
      </c>
      <c r="AD11" s="54">
        <v>36.03</v>
      </c>
      <c r="AE11" s="55">
        <v>30</v>
      </c>
      <c r="AF11" s="150"/>
      <c r="AG11" s="75">
        <f t="shared" si="8"/>
        <v>9</v>
      </c>
      <c r="AH11" s="54">
        <v>11.31</v>
      </c>
      <c r="AI11" s="55">
        <v>25</v>
      </c>
      <c r="AJ11" s="150"/>
      <c r="AK11" s="75">
        <f t="shared" si="9"/>
        <v>9</v>
      </c>
      <c r="AL11" s="54">
        <v>25.66</v>
      </c>
      <c r="AM11" s="55">
        <v>25</v>
      </c>
      <c r="AN11" s="150"/>
      <c r="AO11" s="75">
        <f t="shared" si="10"/>
        <v>9</v>
      </c>
      <c r="AP11" s="54">
        <v>13.4</v>
      </c>
      <c r="AQ11" s="55">
        <v>40</v>
      </c>
      <c r="AR11" s="150"/>
      <c r="AS11" s="75">
        <f t="shared" si="11"/>
        <v>9</v>
      </c>
      <c r="AT11" s="54"/>
      <c r="AU11" s="55"/>
      <c r="AV11" s="150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50"/>
      <c r="E12" s="75">
        <f t="shared" si="1"/>
        <v>10</v>
      </c>
      <c r="F12" s="54"/>
      <c r="G12" s="55"/>
      <c r="H12" s="150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50"/>
      <c r="M12" s="75">
        <f t="shared" si="3"/>
        <v>10</v>
      </c>
      <c r="N12" s="54">
        <v>40</v>
      </c>
      <c r="O12" s="55">
        <v>658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>
        <v>32.49</v>
      </c>
      <c r="W12" s="55">
        <v>500</v>
      </c>
      <c r="X12" s="150"/>
      <c r="Y12" s="75">
        <f t="shared" si="6"/>
        <v>10</v>
      </c>
      <c r="Z12" s="54">
        <v>107.27</v>
      </c>
      <c r="AA12" s="55">
        <v>1755</v>
      </c>
      <c r="AB12" s="150"/>
      <c r="AC12" s="75">
        <f t="shared" si="7"/>
        <v>10</v>
      </c>
      <c r="AD12" s="54">
        <v>24.48</v>
      </c>
      <c r="AE12" s="55">
        <v>435</v>
      </c>
      <c r="AF12" s="150"/>
      <c r="AG12" s="75">
        <f t="shared" si="8"/>
        <v>10</v>
      </c>
      <c r="AH12" s="49">
        <v>45.92</v>
      </c>
      <c r="AI12" s="49">
        <v>920</v>
      </c>
      <c r="AJ12" s="150"/>
      <c r="AK12" s="75">
        <f t="shared" si="9"/>
        <v>10</v>
      </c>
      <c r="AL12" s="54">
        <v>31.45</v>
      </c>
      <c r="AM12" s="55">
        <v>420</v>
      </c>
      <c r="AN12" s="150"/>
      <c r="AO12" s="75">
        <f t="shared" si="10"/>
        <v>10</v>
      </c>
      <c r="AP12" s="54">
        <v>20.2</v>
      </c>
      <c r="AQ12" s="55">
        <v>30</v>
      </c>
      <c r="AR12" s="150"/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/>
      <c r="G13" s="55"/>
      <c r="H13" s="150"/>
      <c r="I13" s="75">
        <f t="shared" si="2"/>
        <v>11</v>
      </c>
      <c r="J13" s="54">
        <v>16.760000000000002</v>
      </c>
      <c r="K13" s="55">
        <v>30</v>
      </c>
      <c r="L13" s="150"/>
      <c r="M13" s="75">
        <f t="shared" si="3"/>
        <v>11</v>
      </c>
      <c r="N13" s="54"/>
      <c r="O13" s="55"/>
      <c r="P13" s="150"/>
      <c r="Q13" s="75">
        <f t="shared" si="4"/>
        <v>11</v>
      </c>
      <c r="R13" s="54">
        <v>17.010000000000002</v>
      </c>
      <c r="S13" s="55">
        <v>50</v>
      </c>
      <c r="T13" s="150"/>
      <c r="U13" s="75">
        <f t="shared" si="5"/>
        <v>11</v>
      </c>
      <c r="V13" s="54">
        <v>20.48</v>
      </c>
      <c r="W13" s="55">
        <v>10</v>
      </c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/>
      <c r="AE13" s="55"/>
      <c r="AF13" s="150"/>
      <c r="AG13" s="75">
        <f t="shared" si="8"/>
        <v>11</v>
      </c>
      <c r="AH13" s="54">
        <v>53.45</v>
      </c>
      <c r="AI13" s="55">
        <v>350</v>
      </c>
      <c r="AJ13" s="150"/>
      <c r="AK13" s="75">
        <f t="shared" si="9"/>
        <v>11</v>
      </c>
      <c r="AL13" s="54">
        <v>36.08</v>
      </c>
      <c r="AM13" s="55">
        <v>300</v>
      </c>
      <c r="AN13" s="150"/>
      <c r="AO13" s="75">
        <f t="shared" si="10"/>
        <v>11</v>
      </c>
      <c r="AP13" s="54">
        <v>13</v>
      </c>
      <c r="AQ13" s="55">
        <v>20</v>
      </c>
      <c r="AR13" s="150"/>
      <c r="AS13" s="75">
        <f t="shared" si="11"/>
        <v>11</v>
      </c>
      <c r="AT13" s="54"/>
      <c r="AU13" s="55"/>
      <c r="AV13" s="150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>
        <v>2.7777777777777776E-2</v>
      </c>
      <c r="E14" s="75">
        <f t="shared" si="1"/>
        <v>12</v>
      </c>
      <c r="F14" s="54"/>
      <c r="G14" s="55"/>
      <c r="H14" s="150">
        <v>2.4305555555555556E-2</v>
      </c>
      <c r="I14" s="75">
        <f t="shared" si="2"/>
        <v>12</v>
      </c>
      <c r="J14" s="54"/>
      <c r="K14" s="55"/>
      <c r="L14" s="150"/>
      <c r="M14" s="75">
        <f t="shared" si="3"/>
        <v>12</v>
      </c>
      <c r="N14" s="54"/>
      <c r="O14" s="55"/>
      <c r="P14" s="150"/>
      <c r="Q14" s="75">
        <f t="shared" si="4"/>
        <v>12</v>
      </c>
      <c r="R14" s="54"/>
      <c r="S14" s="55"/>
      <c r="T14" s="150"/>
      <c r="U14" s="75">
        <f t="shared" si="5"/>
        <v>12</v>
      </c>
      <c r="V14" s="54"/>
      <c r="W14" s="55"/>
      <c r="X14" s="150"/>
      <c r="Y14" s="75">
        <f t="shared" si="6"/>
        <v>12</v>
      </c>
      <c r="Z14" s="54"/>
      <c r="AA14" s="55"/>
      <c r="AB14" s="150"/>
      <c r="AC14" s="75">
        <f t="shared" si="7"/>
        <v>12</v>
      </c>
      <c r="AF14" s="150"/>
      <c r="AG14" s="75">
        <f t="shared" si="8"/>
        <v>12</v>
      </c>
      <c r="AH14" s="54">
        <v>18.899999999999999</v>
      </c>
      <c r="AI14" s="55">
        <v>138</v>
      </c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11.53</v>
      </c>
      <c r="AQ14" s="55">
        <v>30</v>
      </c>
      <c r="AR14" s="150"/>
      <c r="AS14" s="75">
        <f t="shared" si="11"/>
        <v>12</v>
      </c>
      <c r="AT14" s="54">
        <v>14</v>
      </c>
      <c r="AU14" s="55">
        <v>2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>
        <v>4.1666666666666664E-2</v>
      </c>
      <c r="I15" s="75">
        <f t="shared" si="2"/>
        <v>13</v>
      </c>
      <c r="J15" s="54"/>
      <c r="K15" s="55"/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11.4</v>
      </c>
      <c r="S15" s="55">
        <v>40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38.32</v>
      </c>
      <c r="AA15" s="55">
        <v>50</v>
      </c>
      <c r="AB15" s="150"/>
      <c r="AC15" s="75">
        <f t="shared" si="7"/>
        <v>13</v>
      </c>
      <c r="AD15" s="54">
        <v>29.96</v>
      </c>
      <c r="AE15" s="55">
        <v>173</v>
      </c>
      <c r="AF15" s="150"/>
      <c r="AG15" s="75">
        <f t="shared" si="8"/>
        <v>13</v>
      </c>
      <c r="AH15" s="54">
        <v>19.690000000000001</v>
      </c>
      <c r="AI15" s="55">
        <v>90</v>
      </c>
      <c r="AJ15" s="150"/>
      <c r="AK15" s="75">
        <f t="shared" si="9"/>
        <v>13</v>
      </c>
      <c r="AL15" s="54"/>
      <c r="AM15" s="55"/>
      <c r="AN15" s="150"/>
      <c r="AO15" s="75">
        <f t="shared" si="10"/>
        <v>13</v>
      </c>
      <c r="AP15" s="54">
        <v>10.6</v>
      </c>
      <c r="AQ15" s="55">
        <v>310</v>
      </c>
      <c r="AR15" s="150"/>
      <c r="AS15" s="75">
        <f t="shared" si="11"/>
        <v>13</v>
      </c>
      <c r="AT15" s="54">
        <v>13.36</v>
      </c>
      <c r="AU15" s="55">
        <v>81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>
        <v>16.260000000000002</v>
      </c>
      <c r="O16" s="55">
        <v>20</v>
      </c>
      <c r="P16" s="150"/>
      <c r="Q16" s="75">
        <f t="shared" si="4"/>
        <v>14</v>
      </c>
      <c r="T16" s="150"/>
      <c r="U16" s="75">
        <f t="shared" si="5"/>
        <v>14</v>
      </c>
      <c r="V16" s="54">
        <v>34.57</v>
      </c>
      <c r="W16" s="55">
        <v>80</v>
      </c>
      <c r="X16" s="150"/>
      <c r="Y16" s="75">
        <f t="shared" si="6"/>
        <v>14</v>
      </c>
      <c r="Z16" s="54"/>
      <c r="AA16" s="55"/>
      <c r="AB16" s="150"/>
      <c r="AC16" s="75">
        <f t="shared" si="7"/>
        <v>14</v>
      </c>
      <c r="AD16" s="54"/>
      <c r="AE16" s="55"/>
      <c r="AF16" s="150"/>
      <c r="AG16" s="75">
        <f t="shared" si="8"/>
        <v>14</v>
      </c>
      <c r="AH16" s="54"/>
      <c r="AI16" s="55"/>
      <c r="AJ16" s="150"/>
      <c r="AK16" s="75">
        <f t="shared" si="9"/>
        <v>14</v>
      </c>
      <c r="AL16" s="54"/>
      <c r="AM16" s="55"/>
      <c r="AN16" s="150"/>
      <c r="AO16" s="75">
        <f t="shared" si="10"/>
        <v>14</v>
      </c>
      <c r="AP16" s="54">
        <v>15.6</v>
      </c>
      <c r="AQ16" s="55">
        <v>40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50">
        <v>2.0833333333333332E-2</v>
      </c>
      <c r="E17" s="75">
        <f t="shared" si="1"/>
        <v>15</v>
      </c>
      <c r="F17" s="54">
        <v>30.36</v>
      </c>
      <c r="G17" s="55">
        <v>180</v>
      </c>
      <c r="H17" s="150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50">
        <v>2.0833333333333332E-2</v>
      </c>
      <c r="M17" s="75">
        <f t="shared" si="3"/>
        <v>15</v>
      </c>
      <c r="N17" s="54">
        <v>21.78</v>
      </c>
      <c r="O17" s="55">
        <v>20</v>
      </c>
      <c r="P17" s="150"/>
      <c r="Q17" s="75">
        <f t="shared" si="4"/>
        <v>15</v>
      </c>
      <c r="T17" s="150"/>
      <c r="U17" s="75">
        <f t="shared" si="5"/>
        <v>15</v>
      </c>
      <c r="V17" s="54">
        <v>48.39</v>
      </c>
      <c r="W17" s="55">
        <v>100</v>
      </c>
      <c r="X17" s="150"/>
      <c r="Y17" s="75">
        <f t="shared" si="6"/>
        <v>15</v>
      </c>
      <c r="Z17" s="54"/>
      <c r="AA17" s="55"/>
      <c r="AB17" s="150"/>
      <c r="AC17" s="75">
        <f t="shared" si="7"/>
        <v>15</v>
      </c>
      <c r="AD17" s="54">
        <v>24.15</v>
      </c>
      <c r="AE17" s="55">
        <v>105</v>
      </c>
      <c r="AF17" s="150"/>
      <c r="AG17" s="75">
        <f t="shared" si="8"/>
        <v>15</v>
      </c>
      <c r="AH17" s="54">
        <v>16.7</v>
      </c>
      <c r="AI17" s="55">
        <v>80</v>
      </c>
      <c r="AJ17" s="150"/>
      <c r="AK17" s="75">
        <f t="shared" si="9"/>
        <v>15</v>
      </c>
      <c r="AL17" s="54">
        <v>21</v>
      </c>
      <c r="AM17" s="55">
        <v>132</v>
      </c>
      <c r="AN17" s="150"/>
      <c r="AO17" s="75">
        <f t="shared" si="10"/>
        <v>15</v>
      </c>
      <c r="AP17" s="54"/>
      <c r="AQ17" s="55"/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20.190000000000001</v>
      </c>
      <c r="C18" s="55">
        <v>120</v>
      </c>
      <c r="D18" s="150"/>
      <c r="E18" s="75">
        <f t="shared" si="1"/>
        <v>16</v>
      </c>
      <c r="F18" s="54">
        <v>10.11</v>
      </c>
      <c r="G18" s="55">
        <v>80</v>
      </c>
      <c r="H18" s="150">
        <v>4.1666666666666664E-2</v>
      </c>
      <c r="I18" s="75">
        <f t="shared" si="2"/>
        <v>16</v>
      </c>
      <c r="J18" s="54">
        <v>18.18</v>
      </c>
      <c r="K18" s="55">
        <v>20</v>
      </c>
      <c r="L18" s="150"/>
      <c r="M18" s="75">
        <f t="shared" si="3"/>
        <v>16</v>
      </c>
      <c r="N18" s="54">
        <v>28.27</v>
      </c>
      <c r="O18" s="55">
        <v>104</v>
      </c>
      <c r="P18" s="150"/>
      <c r="Q18" s="75">
        <f t="shared" si="4"/>
        <v>16</v>
      </c>
      <c r="R18" s="54">
        <v>34.17</v>
      </c>
      <c r="S18" s="55">
        <v>615</v>
      </c>
      <c r="T18" s="150"/>
      <c r="U18" s="75">
        <f t="shared" si="5"/>
        <v>16</v>
      </c>
      <c r="V18" s="54">
        <v>24.91</v>
      </c>
      <c r="W18" s="55">
        <v>578</v>
      </c>
      <c r="X18" s="150"/>
      <c r="Y18" s="75">
        <f t="shared" si="6"/>
        <v>16</v>
      </c>
      <c r="Z18" s="54"/>
      <c r="AA18" s="55"/>
      <c r="AB18" s="150"/>
      <c r="AC18" s="75">
        <f t="shared" si="7"/>
        <v>16</v>
      </c>
      <c r="AD18" s="54">
        <v>11.13</v>
      </c>
      <c r="AE18" s="55">
        <v>10</v>
      </c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/>
      <c r="AM18" s="55"/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/>
      <c r="AU18" s="55"/>
      <c r="AV18" s="150"/>
      <c r="AW18" s="67"/>
    </row>
    <row r="19" spans="1:49" s="49" customFormat="1" ht="11.25" x14ac:dyDescent="0.2">
      <c r="A19" s="73">
        <f t="shared" si="0"/>
        <v>17</v>
      </c>
      <c r="B19" s="54"/>
      <c r="C19" s="55"/>
      <c r="D19" s="150">
        <v>8.3333333333333329E-2</v>
      </c>
      <c r="E19" s="75">
        <f t="shared" si="1"/>
        <v>17</v>
      </c>
      <c r="F19" s="54"/>
      <c r="G19" s="55"/>
      <c r="H19" s="150"/>
      <c r="I19" s="75">
        <f t="shared" si="2"/>
        <v>17</v>
      </c>
      <c r="J19" s="54"/>
      <c r="K19" s="55"/>
      <c r="L19" s="150">
        <v>2.0833333333333332E-2</v>
      </c>
      <c r="M19" s="75">
        <f t="shared" si="3"/>
        <v>17</v>
      </c>
      <c r="N19" s="54">
        <v>45.12</v>
      </c>
      <c r="O19" s="55">
        <v>1456</v>
      </c>
      <c r="P19" s="150"/>
      <c r="Q19" s="75">
        <f t="shared" si="4"/>
        <v>17</v>
      </c>
      <c r="R19" s="54">
        <v>38.700000000000003</v>
      </c>
      <c r="S19" s="55">
        <v>440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/>
      <c r="AA19" s="55"/>
      <c r="AB19" s="150"/>
      <c r="AC19" s="75">
        <f t="shared" si="7"/>
        <v>17</v>
      </c>
      <c r="AD19" s="54">
        <v>23.24</v>
      </c>
      <c r="AE19" s="55">
        <v>50</v>
      </c>
      <c r="AF19" s="150"/>
      <c r="AG19" s="75">
        <f t="shared" si="8"/>
        <v>17</v>
      </c>
      <c r="AH19" s="54">
        <v>26.4</v>
      </c>
      <c r="AI19" s="55">
        <v>129</v>
      </c>
      <c r="AJ19" s="150"/>
      <c r="AK19" s="75">
        <f t="shared" si="9"/>
        <v>17</v>
      </c>
      <c r="AL19" s="54">
        <v>13.5</v>
      </c>
      <c r="AM19" s="55">
        <v>10</v>
      </c>
      <c r="AN19" s="150"/>
      <c r="AO19" s="75">
        <f t="shared" si="10"/>
        <v>17</v>
      </c>
      <c r="AP19" s="54">
        <v>11.7</v>
      </c>
      <c r="AQ19" s="55">
        <v>16</v>
      </c>
      <c r="AR19" s="150"/>
      <c r="AS19" s="75">
        <f t="shared" si="11"/>
        <v>17</v>
      </c>
      <c r="AT19" s="54"/>
      <c r="AU19" s="55"/>
      <c r="AV19" s="150">
        <v>2.4305555555555556E-2</v>
      </c>
      <c r="AW19" s="67"/>
    </row>
    <row r="20" spans="1:49" s="49" customFormat="1" ht="11.25" x14ac:dyDescent="0.2">
      <c r="A20" s="73">
        <f t="shared" si="0"/>
        <v>18</v>
      </c>
      <c r="B20" s="54">
        <v>17.95</v>
      </c>
      <c r="C20" s="55">
        <v>20</v>
      </c>
      <c r="D20" s="150"/>
      <c r="E20" s="75">
        <f t="shared" si="1"/>
        <v>18</v>
      </c>
      <c r="F20" s="54">
        <v>5.15</v>
      </c>
      <c r="G20" s="55">
        <v>25</v>
      </c>
      <c r="H20" s="150"/>
      <c r="I20" s="75">
        <f t="shared" si="2"/>
        <v>18</v>
      </c>
      <c r="J20" s="54">
        <v>21.38</v>
      </c>
      <c r="K20" s="55">
        <v>172</v>
      </c>
      <c r="L20" s="150"/>
      <c r="M20" s="75">
        <f t="shared" si="3"/>
        <v>18</v>
      </c>
      <c r="N20" s="54"/>
      <c r="O20" s="55"/>
      <c r="P20" s="150"/>
      <c r="Q20" s="75">
        <f t="shared" si="4"/>
        <v>18</v>
      </c>
      <c r="R20" s="54">
        <v>14.81</v>
      </c>
      <c r="S20" s="55">
        <v>10</v>
      </c>
      <c r="T20" s="150"/>
      <c r="U20" s="75">
        <f t="shared" si="5"/>
        <v>18</v>
      </c>
      <c r="V20" s="54"/>
      <c r="W20" s="55"/>
      <c r="X20" s="150">
        <v>4.1666666666666664E-2</v>
      </c>
      <c r="Y20" s="75">
        <f t="shared" si="6"/>
        <v>18</v>
      </c>
      <c r="Z20" s="54"/>
      <c r="AA20" s="55"/>
      <c r="AB20" s="150"/>
      <c r="AC20" s="75">
        <f t="shared" si="7"/>
        <v>18</v>
      </c>
      <c r="AD20" s="54">
        <v>22.7</v>
      </c>
      <c r="AE20" s="55">
        <v>55</v>
      </c>
      <c r="AF20" s="150"/>
      <c r="AG20" s="75">
        <f t="shared" si="8"/>
        <v>18</v>
      </c>
      <c r="AH20" s="54">
        <v>24.4</v>
      </c>
      <c r="AI20" s="55">
        <v>90</v>
      </c>
      <c r="AJ20" s="150"/>
      <c r="AK20" s="75">
        <f t="shared" si="9"/>
        <v>18</v>
      </c>
      <c r="AL20" s="54">
        <v>12.9</v>
      </c>
      <c r="AM20" s="55">
        <v>40</v>
      </c>
      <c r="AN20" s="150"/>
      <c r="AO20" s="75">
        <f t="shared" si="10"/>
        <v>18</v>
      </c>
      <c r="AP20" s="54"/>
      <c r="AQ20" s="55"/>
      <c r="AR20" s="150"/>
      <c r="AS20" s="75">
        <f t="shared" si="11"/>
        <v>18</v>
      </c>
      <c r="AT20" s="54"/>
      <c r="AU20" s="55"/>
      <c r="AV20" s="150">
        <v>4.1666666666666664E-2</v>
      </c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/>
      <c r="G21" s="55"/>
      <c r="H21" s="150"/>
      <c r="I21" s="75">
        <f t="shared" si="2"/>
        <v>19</v>
      </c>
      <c r="J21" s="54"/>
      <c r="K21" s="55"/>
      <c r="L21" s="150"/>
      <c r="M21" s="75">
        <f t="shared" si="3"/>
        <v>19</v>
      </c>
      <c r="N21" s="54">
        <v>24.67</v>
      </c>
      <c r="O21" s="55">
        <v>150</v>
      </c>
      <c r="P21" s="150"/>
      <c r="Q21" s="75">
        <f t="shared" si="4"/>
        <v>19</v>
      </c>
      <c r="R21" s="54"/>
      <c r="S21" s="55"/>
      <c r="T21" s="150">
        <v>2.4305555555555556E-2</v>
      </c>
      <c r="U21" s="75">
        <f t="shared" si="5"/>
        <v>19</v>
      </c>
      <c r="V21" s="54">
        <v>22.83</v>
      </c>
      <c r="W21" s="55">
        <v>172</v>
      </c>
      <c r="X21" s="150"/>
      <c r="Y21" s="75">
        <f t="shared" si="6"/>
        <v>19</v>
      </c>
      <c r="Z21" s="54"/>
      <c r="AA21" s="55"/>
      <c r="AB21" s="150"/>
      <c r="AC21" s="75">
        <f t="shared" si="7"/>
        <v>19</v>
      </c>
      <c r="AD21" s="54">
        <v>24.99</v>
      </c>
      <c r="AE21" s="55">
        <v>336</v>
      </c>
      <c r="AF21" s="150"/>
      <c r="AG21" s="75">
        <f t="shared" si="8"/>
        <v>19</v>
      </c>
      <c r="AH21" s="54">
        <v>39.229999999999997</v>
      </c>
      <c r="AI21" s="55">
        <v>95</v>
      </c>
      <c r="AJ21" s="150"/>
      <c r="AK21" s="75">
        <f t="shared" si="9"/>
        <v>19</v>
      </c>
      <c r="AL21" s="54"/>
      <c r="AM21" s="55"/>
      <c r="AN21" s="150"/>
      <c r="AO21" s="75">
        <f t="shared" si="10"/>
        <v>19</v>
      </c>
      <c r="AP21" s="54"/>
      <c r="AQ21" s="55"/>
      <c r="AR21" s="150"/>
      <c r="AS21" s="75">
        <f t="shared" si="11"/>
        <v>19</v>
      </c>
      <c r="AT21" s="54"/>
      <c r="AU21" s="55"/>
      <c r="AV21" s="150"/>
      <c r="AW21" s="67"/>
    </row>
    <row r="22" spans="1:49" s="49" customFormat="1" ht="11.25" x14ac:dyDescent="0.2">
      <c r="A22" s="73">
        <f t="shared" si="0"/>
        <v>20</v>
      </c>
      <c r="B22" s="54">
        <v>16.39</v>
      </c>
      <c r="C22" s="55">
        <v>10</v>
      </c>
      <c r="D22" s="150"/>
      <c r="E22" s="75">
        <f t="shared" si="1"/>
        <v>20</v>
      </c>
      <c r="F22" s="54">
        <v>11.5</v>
      </c>
      <c r="G22" s="55">
        <v>153</v>
      </c>
      <c r="H22" s="150"/>
      <c r="I22" s="75">
        <f t="shared" si="2"/>
        <v>20</v>
      </c>
      <c r="J22" s="54">
        <v>19.8</v>
      </c>
      <c r="K22" s="55">
        <v>105</v>
      </c>
      <c r="L22" s="150"/>
      <c r="M22" s="75">
        <f t="shared" si="3"/>
        <v>20</v>
      </c>
      <c r="N22" s="54">
        <v>28.9</v>
      </c>
      <c r="O22" s="55">
        <v>30</v>
      </c>
      <c r="P22" s="150"/>
      <c r="Q22" s="75">
        <f t="shared" si="4"/>
        <v>20</v>
      </c>
      <c r="R22" s="54"/>
      <c r="S22" s="55"/>
      <c r="T22" s="150"/>
      <c r="U22" s="75">
        <f t="shared" si="5"/>
        <v>20</v>
      </c>
      <c r="V22" s="54">
        <v>18.05</v>
      </c>
      <c r="W22" s="55">
        <v>35</v>
      </c>
      <c r="X22" s="150"/>
      <c r="Y22" s="75">
        <f t="shared" si="6"/>
        <v>20</v>
      </c>
      <c r="Z22" s="54">
        <v>13.97</v>
      </c>
      <c r="AA22" s="55">
        <v>15</v>
      </c>
      <c r="AB22" s="150"/>
      <c r="AC22" s="75">
        <f t="shared" si="7"/>
        <v>20</v>
      </c>
      <c r="AD22" s="54">
        <v>16.059999999999999</v>
      </c>
      <c r="AE22" s="55">
        <v>70</v>
      </c>
      <c r="AF22" s="150"/>
      <c r="AG22" s="75">
        <f t="shared" si="8"/>
        <v>20</v>
      </c>
      <c r="AH22" s="54">
        <v>27.5</v>
      </c>
      <c r="AI22" s="55">
        <v>355</v>
      </c>
      <c r="AJ22" s="150"/>
      <c r="AK22" s="75">
        <f t="shared" si="9"/>
        <v>20</v>
      </c>
      <c r="AL22" s="54"/>
      <c r="AM22" s="55"/>
      <c r="AN22" s="150"/>
      <c r="AO22" s="75">
        <f t="shared" si="10"/>
        <v>20</v>
      </c>
      <c r="AP22" s="54">
        <v>27.06</v>
      </c>
      <c r="AQ22" s="55">
        <v>155</v>
      </c>
      <c r="AR22" s="150"/>
      <c r="AS22" s="75">
        <f t="shared" si="11"/>
        <v>20</v>
      </c>
      <c r="AT22" s="54"/>
      <c r="AU22" s="55"/>
      <c r="AV22" s="150">
        <v>4.1666666666666664E-2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/>
      <c r="G23" s="55"/>
      <c r="H23" s="150">
        <v>9.0277777777777776E-2</v>
      </c>
      <c r="I23" s="75">
        <f t="shared" si="2"/>
        <v>21</v>
      </c>
      <c r="J23" s="54">
        <v>24.83</v>
      </c>
      <c r="K23" s="55">
        <v>210</v>
      </c>
      <c r="L23" s="150"/>
      <c r="M23" s="75">
        <f t="shared" si="3"/>
        <v>21</v>
      </c>
      <c r="N23" s="54"/>
      <c r="O23" s="55"/>
      <c r="P23" s="150"/>
      <c r="Q23" s="75">
        <f t="shared" si="4"/>
        <v>21</v>
      </c>
      <c r="R23" s="54"/>
      <c r="S23" s="55"/>
      <c r="T23" s="150"/>
      <c r="U23" s="75">
        <f t="shared" si="5"/>
        <v>21</v>
      </c>
      <c r="V23" s="54">
        <v>29.59</v>
      </c>
      <c r="W23" s="55">
        <v>195</v>
      </c>
      <c r="X23" s="150"/>
      <c r="Y23" s="75">
        <f t="shared" si="6"/>
        <v>21</v>
      </c>
      <c r="Z23" s="54">
        <v>19.350000000000001</v>
      </c>
      <c r="AA23" s="55">
        <v>20</v>
      </c>
      <c r="AB23" s="150"/>
      <c r="AC23" s="75">
        <f t="shared" si="7"/>
        <v>21</v>
      </c>
      <c r="AD23" s="54"/>
      <c r="AE23" s="55"/>
      <c r="AF23" s="150"/>
      <c r="AG23" s="75">
        <f t="shared" si="8"/>
        <v>21</v>
      </c>
      <c r="AH23" s="54">
        <v>12.5</v>
      </c>
      <c r="AI23" s="55">
        <v>15</v>
      </c>
      <c r="AJ23" s="150"/>
      <c r="AK23" s="75">
        <f t="shared" si="9"/>
        <v>21</v>
      </c>
      <c r="AL23" s="54"/>
      <c r="AM23" s="55"/>
      <c r="AN23" s="150"/>
      <c r="AO23" s="75">
        <f t="shared" si="10"/>
        <v>21</v>
      </c>
      <c r="AP23" s="54">
        <v>16</v>
      </c>
      <c r="AQ23" s="55">
        <v>180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50"/>
      <c r="E24" s="75">
        <f t="shared" si="1"/>
        <v>22</v>
      </c>
      <c r="F24" s="54">
        <v>16.2</v>
      </c>
      <c r="G24" s="55">
        <v>6</v>
      </c>
      <c r="H24" s="150"/>
      <c r="I24" s="75">
        <f t="shared" si="2"/>
        <v>22</v>
      </c>
      <c r="J24" s="54">
        <v>23.57</v>
      </c>
      <c r="K24" s="55">
        <v>362</v>
      </c>
      <c r="L24" s="150"/>
      <c r="M24" s="75">
        <f t="shared" si="3"/>
        <v>22</v>
      </c>
      <c r="N24" s="54">
        <v>8.5</v>
      </c>
      <c r="O24" s="55">
        <v>2</v>
      </c>
      <c r="P24" s="150"/>
      <c r="Q24" s="75">
        <f t="shared" si="4"/>
        <v>22</v>
      </c>
      <c r="R24" s="49">
        <v>125.31</v>
      </c>
      <c r="S24" s="49">
        <v>1731</v>
      </c>
      <c r="T24" s="150"/>
      <c r="U24" s="75">
        <f t="shared" si="5"/>
        <v>22</v>
      </c>
      <c r="V24" s="54">
        <v>21.39</v>
      </c>
      <c r="W24" s="55">
        <v>620</v>
      </c>
      <c r="X24" s="150"/>
      <c r="Y24" s="75">
        <f t="shared" si="6"/>
        <v>22</v>
      </c>
      <c r="Z24" s="54"/>
      <c r="AA24" s="55"/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37.799999999999997</v>
      </c>
      <c r="AI24" s="55">
        <v>376</v>
      </c>
      <c r="AJ24" s="150"/>
      <c r="AK24" s="75">
        <f t="shared" si="9"/>
        <v>22</v>
      </c>
      <c r="AL24" s="54">
        <v>18</v>
      </c>
      <c r="AM24" s="55">
        <v>65</v>
      </c>
      <c r="AN24" s="150"/>
      <c r="AO24" s="75">
        <f t="shared" si="10"/>
        <v>22</v>
      </c>
      <c r="AP24" s="54"/>
      <c r="AQ24" s="55"/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>
        <v>35</v>
      </c>
      <c r="C25" s="55">
        <v>435</v>
      </c>
      <c r="D25" s="150"/>
      <c r="E25" s="75">
        <f t="shared" si="1"/>
        <v>23</v>
      </c>
      <c r="F25" s="54"/>
      <c r="G25" s="55"/>
      <c r="H25" s="150">
        <v>5.5555555555555552E-2</v>
      </c>
      <c r="I25" s="75">
        <f t="shared" si="2"/>
        <v>23</v>
      </c>
      <c r="J25" s="54">
        <v>11.51</v>
      </c>
      <c r="K25" s="55">
        <v>10</v>
      </c>
      <c r="L25" s="150"/>
      <c r="M25" s="75">
        <f t="shared" si="3"/>
        <v>23</v>
      </c>
      <c r="N25" s="54">
        <v>28.03</v>
      </c>
      <c r="O25" s="55">
        <v>195</v>
      </c>
      <c r="P25" s="150"/>
      <c r="Q25" s="75">
        <f t="shared" si="4"/>
        <v>23</v>
      </c>
      <c r="R25" s="54">
        <v>16.86</v>
      </c>
      <c r="S25" s="55">
        <v>55</v>
      </c>
      <c r="T25" s="150"/>
      <c r="U25" s="75">
        <f t="shared" si="5"/>
        <v>23</v>
      </c>
      <c r="V25" s="54">
        <v>54.67</v>
      </c>
      <c r="W25" s="55">
        <v>614</v>
      </c>
      <c r="X25" s="150"/>
      <c r="Y25" s="75">
        <f t="shared" si="6"/>
        <v>23</v>
      </c>
      <c r="Z25" s="54">
        <v>19.03</v>
      </c>
      <c r="AA25" s="55">
        <v>15</v>
      </c>
      <c r="AB25" s="150"/>
      <c r="AC25" s="75">
        <f t="shared" si="7"/>
        <v>23</v>
      </c>
      <c r="AD25" s="54">
        <v>12</v>
      </c>
      <c r="AE25" s="55">
        <v>2</v>
      </c>
      <c r="AF25" s="150"/>
      <c r="AG25" s="75">
        <f t="shared" si="8"/>
        <v>23</v>
      </c>
      <c r="AH25" s="54">
        <v>12.3</v>
      </c>
      <c r="AI25" s="55">
        <v>50</v>
      </c>
      <c r="AJ25" s="150"/>
      <c r="AK25" s="75">
        <f t="shared" si="9"/>
        <v>23</v>
      </c>
      <c r="AL25" s="54">
        <v>15.4</v>
      </c>
      <c r="AM25" s="55">
        <v>50</v>
      </c>
      <c r="AN25" s="150"/>
      <c r="AO25" s="75">
        <f t="shared" si="10"/>
        <v>23</v>
      </c>
      <c r="AP25" s="54">
        <v>10</v>
      </c>
      <c r="AQ25" s="55">
        <v>2</v>
      </c>
      <c r="AR25" s="150"/>
      <c r="AS25" s="75">
        <f t="shared" si="11"/>
        <v>23</v>
      </c>
      <c r="AT25" s="54"/>
      <c r="AU25" s="55"/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>
        <v>2.0833333333333332E-2</v>
      </c>
      <c r="E26" s="75">
        <f t="shared" si="1"/>
        <v>24</v>
      </c>
      <c r="F26" s="54">
        <v>18.38</v>
      </c>
      <c r="G26" s="55">
        <v>145</v>
      </c>
      <c r="H26" s="150"/>
      <c r="I26" s="75">
        <f t="shared" si="2"/>
        <v>24</v>
      </c>
      <c r="J26" s="54">
        <v>38.89</v>
      </c>
      <c r="K26" s="55">
        <v>570</v>
      </c>
      <c r="L26" s="150"/>
      <c r="M26" s="75">
        <f t="shared" si="3"/>
        <v>24</v>
      </c>
      <c r="N26" s="54">
        <v>78.37</v>
      </c>
      <c r="O26" s="55">
        <v>976</v>
      </c>
      <c r="P26" s="150"/>
      <c r="Q26" s="75">
        <f t="shared" si="4"/>
        <v>24</v>
      </c>
      <c r="R26" s="54">
        <v>34.200000000000003</v>
      </c>
      <c r="S26" s="55">
        <v>173</v>
      </c>
      <c r="T26" s="150"/>
      <c r="U26" s="75">
        <f t="shared" si="5"/>
        <v>24</v>
      </c>
      <c r="V26" s="54">
        <v>37.61</v>
      </c>
      <c r="W26" s="55">
        <v>530</v>
      </c>
      <c r="X26" s="150"/>
      <c r="Y26" s="75">
        <f t="shared" si="6"/>
        <v>24</v>
      </c>
      <c r="Z26" s="54"/>
      <c r="AA26" s="55"/>
      <c r="AB26" s="150"/>
      <c r="AC26" s="75">
        <f t="shared" si="7"/>
        <v>24</v>
      </c>
      <c r="AD26" s="54">
        <v>25.6</v>
      </c>
      <c r="AE26" s="55">
        <v>135</v>
      </c>
      <c r="AF26" s="150"/>
      <c r="AG26" s="75">
        <f t="shared" si="8"/>
        <v>24</v>
      </c>
      <c r="AH26" s="54"/>
      <c r="AI26" s="55"/>
      <c r="AJ26" s="150"/>
      <c r="AK26" s="75">
        <f t="shared" si="9"/>
        <v>24</v>
      </c>
      <c r="AL26" s="54"/>
      <c r="AM26" s="55"/>
      <c r="AN26" s="150"/>
      <c r="AO26" s="75">
        <f t="shared" si="10"/>
        <v>24</v>
      </c>
      <c r="AP26" s="54">
        <v>14.68</v>
      </c>
      <c r="AQ26" s="55">
        <v>41</v>
      </c>
      <c r="AR26" s="150"/>
      <c r="AS26" s="75">
        <f t="shared" si="11"/>
        <v>24</v>
      </c>
      <c r="AT26" s="54"/>
      <c r="AU26" s="55"/>
      <c r="AV26" s="150">
        <v>2.7777777777777776E-2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/>
      <c r="G27" s="55"/>
      <c r="H27" s="150"/>
      <c r="I27" s="75">
        <f t="shared" si="2"/>
        <v>25</v>
      </c>
      <c r="J27" s="54">
        <v>27.23</v>
      </c>
      <c r="K27" s="55">
        <v>364</v>
      </c>
      <c r="L27" s="150"/>
      <c r="M27" s="75">
        <f t="shared" si="3"/>
        <v>25</v>
      </c>
      <c r="N27" s="54">
        <v>34</v>
      </c>
      <c r="O27" s="55">
        <v>750</v>
      </c>
      <c r="P27" s="150"/>
      <c r="Q27" s="75">
        <f t="shared" si="4"/>
        <v>25</v>
      </c>
      <c r="R27" s="54">
        <v>8.8699999999999992</v>
      </c>
      <c r="S27" s="55">
        <v>5</v>
      </c>
      <c r="T27" s="150"/>
      <c r="U27" s="75">
        <f t="shared" si="5"/>
        <v>25</v>
      </c>
      <c r="V27" s="54">
        <v>16.850000000000001</v>
      </c>
      <c r="W27" s="55">
        <v>536</v>
      </c>
      <c r="X27" s="150"/>
      <c r="Y27" s="75">
        <f t="shared" si="6"/>
        <v>25</v>
      </c>
      <c r="Z27" s="54">
        <v>75.37</v>
      </c>
      <c r="AA27" s="55">
        <v>2170</v>
      </c>
      <c r="AB27" s="150"/>
      <c r="AC27" s="75">
        <f t="shared" si="7"/>
        <v>25</v>
      </c>
      <c r="AD27" s="54"/>
      <c r="AE27" s="55"/>
      <c r="AF27" s="150"/>
      <c r="AG27" s="75">
        <f t="shared" si="8"/>
        <v>25</v>
      </c>
      <c r="AH27" s="54"/>
      <c r="AI27" s="55"/>
      <c r="AJ27" s="150"/>
      <c r="AK27" s="75">
        <f t="shared" si="9"/>
        <v>25</v>
      </c>
      <c r="AL27" s="54">
        <v>20.05</v>
      </c>
      <c r="AM27" s="55">
        <v>55</v>
      </c>
      <c r="AN27" s="150"/>
      <c r="AO27" s="75">
        <f t="shared" si="10"/>
        <v>25</v>
      </c>
      <c r="AP27" s="54"/>
      <c r="AQ27" s="55"/>
      <c r="AR27" s="150"/>
      <c r="AS27" s="75">
        <f t="shared" si="11"/>
        <v>25</v>
      </c>
      <c r="AT27" s="54"/>
      <c r="AU27" s="55"/>
      <c r="AV27" s="150"/>
      <c r="AW27" s="67"/>
    </row>
    <row r="28" spans="1:49" s="49" customFormat="1" ht="11.25" x14ac:dyDescent="0.2">
      <c r="A28" s="73">
        <f t="shared" si="0"/>
        <v>26</v>
      </c>
      <c r="B28" s="54">
        <v>11.75</v>
      </c>
      <c r="C28" s="55">
        <v>75</v>
      </c>
      <c r="D28" s="150"/>
      <c r="E28" s="75">
        <f t="shared" si="1"/>
        <v>26</v>
      </c>
      <c r="F28" s="54"/>
      <c r="G28" s="55"/>
      <c r="H28" s="150">
        <v>4.1666666666666664E-2</v>
      </c>
      <c r="I28" s="75">
        <f t="shared" si="2"/>
        <v>26</v>
      </c>
      <c r="J28" s="54"/>
      <c r="K28" s="55"/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>
        <v>8.92</v>
      </c>
      <c r="S28" s="55">
        <v>15</v>
      </c>
      <c r="T28" s="150"/>
      <c r="U28" s="75">
        <f t="shared" si="5"/>
        <v>26</v>
      </c>
      <c r="V28" s="54">
        <v>34.17</v>
      </c>
      <c r="W28" s="55">
        <v>244</v>
      </c>
      <c r="X28" s="150"/>
      <c r="Y28" s="75">
        <f t="shared" si="6"/>
        <v>26</v>
      </c>
      <c r="Z28" s="54">
        <v>9.01</v>
      </c>
      <c r="AA28" s="55">
        <v>15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/>
      <c r="AI28" s="55"/>
      <c r="AJ28" s="150"/>
      <c r="AK28" s="75">
        <f t="shared" si="9"/>
        <v>26</v>
      </c>
      <c r="AL28" s="54">
        <v>12.4</v>
      </c>
      <c r="AM28" s="55">
        <v>40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/>
      <c r="AU28" s="55"/>
      <c r="AV28" s="150">
        <v>4.1666666666666664E-2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>
        <v>2.4305555555555556E-2</v>
      </c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20.54</v>
      </c>
      <c r="K29" s="55">
        <v>30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/>
      <c r="S29" s="55"/>
      <c r="T29" s="150"/>
      <c r="U29" s="75">
        <f t="shared" si="5"/>
        <v>27</v>
      </c>
      <c r="V29" s="54">
        <v>32.39</v>
      </c>
      <c r="W29" s="55">
        <v>930</v>
      </c>
      <c r="X29" s="150"/>
      <c r="Y29" s="75">
        <f t="shared" si="6"/>
        <v>27</v>
      </c>
      <c r="Z29" s="54"/>
      <c r="AA29" s="55"/>
      <c r="AB29" s="150"/>
      <c r="AC29" s="75">
        <f t="shared" si="7"/>
        <v>27</v>
      </c>
      <c r="AD29" s="54">
        <v>14</v>
      </c>
      <c r="AE29" s="55">
        <v>10</v>
      </c>
      <c r="AF29" s="150"/>
      <c r="AG29" s="75">
        <f t="shared" si="8"/>
        <v>27</v>
      </c>
      <c r="AH29" s="54">
        <v>12</v>
      </c>
      <c r="AI29" s="55">
        <v>2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50"/>
      <c r="E30" s="75">
        <f t="shared" si="1"/>
        <v>28</v>
      </c>
      <c r="F30" s="54">
        <v>33.5</v>
      </c>
      <c r="G30" s="55">
        <v>93</v>
      </c>
      <c r="H30" s="150">
        <v>6.25E-2</v>
      </c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21.15</v>
      </c>
      <c r="O30" s="55">
        <v>446</v>
      </c>
      <c r="P30" s="150"/>
      <c r="Q30" s="75">
        <f t="shared" si="4"/>
        <v>28</v>
      </c>
      <c r="R30" s="54"/>
      <c r="S30" s="55"/>
      <c r="T30" s="150"/>
      <c r="U30" s="75">
        <f t="shared" si="5"/>
        <v>28</v>
      </c>
      <c r="V30" s="54">
        <v>20.05</v>
      </c>
      <c r="W30" s="55">
        <v>40</v>
      </c>
      <c r="X30" s="150"/>
      <c r="Y30" s="75">
        <f t="shared" si="6"/>
        <v>28</v>
      </c>
      <c r="Z30" s="54"/>
      <c r="AA30" s="55"/>
      <c r="AB30" s="150"/>
      <c r="AC30" s="75">
        <f t="shared" si="7"/>
        <v>28</v>
      </c>
      <c r="AD30" s="54">
        <v>7</v>
      </c>
      <c r="AE30" s="55">
        <v>2</v>
      </c>
      <c r="AF30" s="150"/>
      <c r="AG30" s="75">
        <f t="shared" si="8"/>
        <v>28</v>
      </c>
      <c r="AH30" s="54">
        <v>20.9</v>
      </c>
      <c r="AI30" s="55">
        <v>50</v>
      </c>
      <c r="AJ30" s="150"/>
      <c r="AK30" s="75">
        <f t="shared" si="9"/>
        <v>28</v>
      </c>
      <c r="AL30" s="54">
        <v>13.16</v>
      </c>
      <c r="AM30" s="55">
        <v>35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/>
      <c r="AU30" s="55"/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/>
      <c r="F31" s="54"/>
      <c r="G31" s="55"/>
      <c r="H31" s="150"/>
      <c r="I31" s="75">
        <f t="shared" si="2"/>
        <v>29</v>
      </c>
      <c r="J31" s="54">
        <v>17.23</v>
      </c>
      <c r="K31" s="55">
        <v>40</v>
      </c>
      <c r="L31" s="150"/>
      <c r="M31" s="75">
        <f t="shared" si="3"/>
        <v>29</v>
      </c>
      <c r="N31" s="54"/>
      <c r="O31" s="55"/>
      <c r="P31" s="150"/>
      <c r="Q31" s="75">
        <f t="shared" si="4"/>
        <v>29</v>
      </c>
      <c r="R31" s="54"/>
      <c r="S31" s="55"/>
      <c r="T31" s="150"/>
      <c r="U31" s="75">
        <f t="shared" si="5"/>
        <v>29</v>
      </c>
      <c r="V31" s="54">
        <v>39.6</v>
      </c>
      <c r="W31" s="55">
        <v>25</v>
      </c>
      <c r="X31" s="150"/>
      <c r="Y31" s="75">
        <f t="shared" si="6"/>
        <v>29</v>
      </c>
      <c r="Z31" s="54"/>
      <c r="AA31" s="55"/>
      <c r="AB31" s="150"/>
      <c r="AC31" s="75">
        <f t="shared" si="7"/>
        <v>29</v>
      </c>
      <c r="AD31" s="54">
        <v>19.579999999999998</v>
      </c>
      <c r="AE31" s="55">
        <v>70</v>
      </c>
      <c r="AF31" s="150"/>
      <c r="AG31" s="75">
        <f t="shared" si="8"/>
        <v>29</v>
      </c>
      <c r="AH31" s="54">
        <v>9.3000000000000007</v>
      </c>
      <c r="AI31" s="55">
        <v>20</v>
      </c>
      <c r="AJ31" s="150"/>
      <c r="AK31" s="75">
        <f t="shared" si="9"/>
        <v>29</v>
      </c>
      <c r="AL31" s="54"/>
      <c r="AM31" s="55"/>
      <c r="AN31" s="150"/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/>
      <c r="AU31" s="55"/>
      <c r="AV31" s="150"/>
      <c r="AW31" s="67"/>
    </row>
    <row r="32" spans="1:49" s="49" customFormat="1" ht="11.25" x14ac:dyDescent="0.2">
      <c r="A32" s="73">
        <f t="shared" si="0"/>
        <v>30</v>
      </c>
      <c r="B32" s="54">
        <v>10.1</v>
      </c>
      <c r="C32" s="55">
        <v>306</v>
      </c>
      <c r="D32" s="150">
        <v>4.8611111111111112E-2</v>
      </c>
      <c r="E32" s="75"/>
      <c r="F32" s="54"/>
      <c r="G32" s="55"/>
      <c r="H32" s="150"/>
      <c r="I32" s="75">
        <f t="shared" si="2"/>
        <v>30</v>
      </c>
      <c r="J32" s="54">
        <v>22.83</v>
      </c>
      <c r="K32" s="55">
        <v>20</v>
      </c>
      <c r="L32" s="150"/>
      <c r="M32" s="75">
        <f t="shared" si="3"/>
        <v>30</v>
      </c>
      <c r="N32" s="54">
        <v>27.97</v>
      </c>
      <c r="O32" s="55">
        <v>383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47.55</v>
      </c>
      <c r="W32" s="55">
        <v>415</v>
      </c>
      <c r="X32" s="150"/>
      <c r="Y32" s="75">
        <f t="shared" si="6"/>
        <v>30</v>
      </c>
      <c r="Z32" s="54">
        <v>21</v>
      </c>
      <c r="AA32" s="55">
        <v>2</v>
      </c>
      <c r="AB32" s="150"/>
      <c r="AC32" s="75">
        <f t="shared" si="7"/>
        <v>30</v>
      </c>
      <c r="AD32" s="54"/>
      <c r="AE32" s="55"/>
      <c r="AF32" s="150"/>
      <c r="AG32" s="75">
        <f t="shared" si="8"/>
        <v>30</v>
      </c>
      <c r="AH32" s="54">
        <v>24.66</v>
      </c>
      <c r="AI32" s="55">
        <v>25</v>
      </c>
      <c r="AJ32" s="150"/>
      <c r="AK32" s="75">
        <f t="shared" si="9"/>
        <v>30</v>
      </c>
      <c r="AL32" s="54"/>
      <c r="AM32" s="55"/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11.08</v>
      </c>
      <c r="S33" s="63">
        <v>2</v>
      </c>
      <c r="T33" s="151"/>
      <c r="U33" s="76"/>
      <c r="V33" s="62"/>
      <c r="W33" s="63"/>
      <c r="X33" s="151"/>
      <c r="Y33" s="76">
        <f t="shared" si="6"/>
        <v>31</v>
      </c>
      <c r="Z33" s="62"/>
      <c r="AA33" s="63"/>
      <c r="AB33" s="151">
        <v>2.2222222222222223E-2</v>
      </c>
      <c r="AC33" s="76">
        <f t="shared" si="7"/>
        <v>31</v>
      </c>
      <c r="AD33" s="62">
        <v>22</v>
      </c>
      <c r="AE33" s="63">
        <v>175</v>
      </c>
      <c r="AF33" s="151"/>
      <c r="AG33" s="76"/>
      <c r="AH33" s="62"/>
      <c r="AI33" s="63"/>
      <c r="AJ33" s="151"/>
      <c r="AK33" s="76">
        <f t="shared" si="9"/>
        <v>31</v>
      </c>
      <c r="AL33" s="62"/>
      <c r="AM33" s="63"/>
      <c r="AN33" s="151"/>
      <c r="AO33" s="76"/>
      <c r="AP33" s="62"/>
      <c r="AQ33" s="63"/>
      <c r="AR33" s="151"/>
      <c r="AS33" s="76">
        <f t="shared" si="11"/>
        <v>31</v>
      </c>
      <c r="AT33" s="62"/>
      <c r="AU33" s="63"/>
      <c r="AV33" s="151"/>
      <c r="AW33" s="67"/>
    </row>
    <row r="34" spans="1:49" s="49" customFormat="1" ht="11.25" x14ac:dyDescent="0.2">
      <c r="A34" s="45" t="s">
        <v>92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1.25" x14ac:dyDescent="0.2">
      <c r="A35" s="46" t="s">
        <v>93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1.25" x14ac:dyDescent="0.2">
      <c r="A36" s="49" t="s">
        <v>149</v>
      </c>
      <c r="B36" s="54">
        <f>MAX(B3:B33)</f>
        <v>35</v>
      </c>
      <c r="C36" s="55">
        <f>MAX(C3:C33)</f>
        <v>435</v>
      </c>
      <c r="D36" s="152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52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52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52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52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52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52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52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52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52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52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52">
        <f>MAX(AV3:AV33)</f>
        <v>4.8611111111111112E-2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16.029999999999998</v>
      </c>
      <c r="C37" s="55">
        <f>IFERROR(AVERAGE(C3:C33),0)</f>
        <v>143.6</v>
      </c>
      <c r="D37" s="152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52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52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52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52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52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52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52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52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52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52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52">
        <f>IFERROR(AVERAGE(AV3:AV33),0)</f>
        <v>3.5493827160493825E-2</v>
      </c>
      <c r="AW37" s="67"/>
    </row>
    <row r="38" spans="1:49" s="49" customFormat="1" ht="11.25" x14ac:dyDescent="0.2">
      <c r="A38" s="49" t="s">
        <v>236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803.18000000000006</v>
      </c>
      <c r="K39" s="51">
        <f t="shared" ref="K39:L39" si="12">SUM(C34,G34,K34)</f>
        <v>5562</v>
      </c>
      <c r="L39" s="170">
        <f t="shared" si="12"/>
        <v>626</v>
      </c>
      <c r="M39" s="168"/>
      <c r="P39" s="169"/>
      <c r="Q39" s="168"/>
      <c r="T39" s="169"/>
      <c r="U39" s="168"/>
      <c r="V39" s="50">
        <f>SUM(N34,R34,V34)</f>
        <v>1726.21</v>
      </c>
      <c r="W39" s="51">
        <f>SUM(O34,S34,W34)</f>
        <v>18283</v>
      </c>
      <c r="X39" s="170">
        <f>SUM(P34,T34,X34)</f>
        <v>50</v>
      </c>
      <c r="Y39" s="168"/>
      <c r="AB39" s="169"/>
      <c r="AC39" s="168"/>
      <c r="AF39" s="169"/>
      <c r="AG39" s="168"/>
      <c r="AH39" s="50">
        <f>SUM(Z34,AD34,AH34)</f>
        <v>1361.4</v>
      </c>
      <c r="AI39" s="51">
        <f>SUM(AA34,AE34,AI34)</f>
        <v>11449</v>
      </c>
      <c r="AJ39" s="170">
        <f>SUM(AB34,AF34,AJ34)</f>
        <v>12.800000000000002</v>
      </c>
      <c r="AK39" s="168"/>
      <c r="AN39" s="169"/>
      <c r="AO39" s="168"/>
      <c r="AR39" s="169"/>
      <c r="AS39" s="168"/>
      <c r="AT39" s="50">
        <f>SUM(AL34,AP34,AT34)</f>
        <v>567.14</v>
      </c>
      <c r="AU39" s="51">
        <f>SUM(AM34,AQ34,AU34)</f>
        <v>2897</v>
      </c>
      <c r="AV39" s="170">
        <f>SUM(AN34,AR34,AV34)</f>
        <v>232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52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52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52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52">
        <f>IFERROR(AVERAGE(AN37,AR37,AV37),0)</f>
        <v>2.5720164609053495E-2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21.826653316809644</v>
      </c>
      <c r="C42" s="87">
        <f>AB1</f>
        <v>180.7417338841891</v>
      </c>
      <c r="D42" s="88"/>
      <c r="E42" s="176" t="s">
        <v>399</v>
      </c>
      <c r="F42" s="177">
        <f>SUM(J23:J33,N3:N33,R3:R33,V3:V33,Z3:Z33,AD3:AD33,AH3:AH23)</f>
        <v>3157.2799999999993</v>
      </c>
      <c r="G42" s="178">
        <f>SUM(K23:K33,O3:O32,S3:S33,W3:W32,AA3:AA33,AE3:AE33,AI3:AI23)</f>
        <v>30815</v>
      </c>
      <c r="H42" s="179"/>
      <c r="I42" s="179"/>
      <c r="J42" s="180">
        <f>IFERROR(F42/(F42+F43),0)</f>
        <v>0.70823902573615982</v>
      </c>
      <c r="K42" s="180">
        <f>IFERROR(G42/(G42+G43),0)</f>
        <v>0.80686549186981227</v>
      </c>
      <c r="L42" s="179"/>
      <c r="M42" s="259" t="s">
        <v>600</v>
      </c>
      <c r="N42" s="257">
        <v>12</v>
      </c>
      <c r="Y42" s="144"/>
      <c r="AK42" s="211" t="s">
        <v>478</v>
      </c>
      <c r="AL42" s="47">
        <f>MAX(B34,F34,J34,N34,R34,V34,Z34,AD34,AH34,AL34,AP34,AT34)</f>
        <v>666.43000000000006</v>
      </c>
      <c r="AM42" s="212">
        <f>MAX(C34,G34,K34,O34,S34,W34,AA34,AE34,AI34,AM34,AQ34,AU34)</f>
        <v>7846</v>
      </c>
      <c r="AN42" s="49" t="s">
        <v>346</v>
      </c>
      <c r="AO42" s="210" t="s">
        <v>344</v>
      </c>
      <c r="AP42" s="54">
        <f>R1-'09'!R1</f>
        <v>-235.02000000000004</v>
      </c>
      <c r="AQ42" s="78">
        <f>AF1-'09'!AF1</f>
        <v>-1098</v>
      </c>
      <c r="AR42" s="49" t="s">
        <v>345</v>
      </c>
      <c r="AS42" s="209" t="s">
        <v>344</v>
      </c>
      <c r="AT42" s="54">
        <f>I1-'09'!I1</f>
        <v>-6.1299999999999955</v>
      </c>
      <c r="AU42" s="78">
        <f>AN1-'09'!AN1</f>
        <v>310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12.213506849315069</v>
      </c>
      <c r="C43" s="87">
        <f>AU1/365</f>
        <v>104.63287671232877</v>
      </c>
      <c r="D43" s="88"/>
      <c r="E43" s="172" t="s">
        <v>400</v>
      </c>
      <c r="F43" s="173">
        <f>E1-F42</f>
        <v>1300.650000000001</v>
      </c>
      <c r="G43" s="174">
        <f>AU1-G42</f>
        <v>7376</v>
      </c>
      <c r="H43" s="175"/>
      <c r="I43" s="175"/>
      <c r="J43" s="181">
        <f>IFERROR(F43/(F42+F43),0)</f>
        <v>0.29176097426384012</v>
      </c>
      <c r="K43" s="181">
        <f>IFERROR(G43/(G42+G43),0)</f>
        <v>0.19313450813018773</v>
      </c>
      <c r="L43" s="175"/>
      <c r="M43" s="65" t="s">
        <v>601</v>
      </c>
      <c r="N43" s="258">
        <v>18</v>
      </c>
      <c r="Y43" s="67"/>
      <c r="AK43" s="213" t="s">
        <v>481</v>
      </c>
      <c r="AL43" s="188">
        <f>IF($B$1&lt;&gt;0,$AV$35/$B1,0)</f>
        <v>0.17119282804676939</v>
      </c>
      <c r="AO43" s="209" t="s">
        <v>344</v>
      </c>
      <c r="AP43" s="54">
        <f>AV35-'09'!AV35</f>
        <v>310.79999999999995</v>
      </c>
      <c r="AQ43" s="188">
        <f>AL43-'09'!AL43</f>
        <v>8.8293583245299484E-2</v>
      </c>
      <c r="AR43" s="49" t="s">
        <v>204</v>
      </c>
      <c r="AS43" s="209" t="s">
        <v>344</v>
      </c>
      <c r="AT43" s="54">
        <f>B1-'09'!B1</f>
        <v>-1979.5999999999995</v>
      </c>
      <c r="AU43" s="78">
        <f>AU1-'09'!AU1</f>
        <v>-29265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17" priority="166" operator="equal">
      <formula>$AF$1</formula>
    </cfRule>
    <cfRule type="cellIs" dxfId="716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15" priority="163" operator="lessThan">
      <formula>0</formula>
    </cfRule>
    <cfRule type="cellIs" dxfId="714" priority="164" operator="greaterThanOrEqual">
      <formula>0</formula>
    </cfRule>
  </conditionalFormatting>
  <conditionalFormatting sqref="C38 G38 K38 O38 S38 W38 AA38 AE38 AI38 AM38 AQ38 AU38 AU42:AU43 AQ42">
    <cfRule type="cellIs" dxfId="713" priority="161" operator="lessThan">
      <formula>0</formula>
    </cfRule>
    <cfRule type="cellIs" dxfId="712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11" priority="158" stopIfTrue="1" operator="lessThan">
      <formula>50</formula>
    </cfRule>
    <cfRule type="cellIs" dxfId="710" priority="159" stopIfTrue="1" operator="greaterThanOrEqual">
      <formula>100</formula>
    </cfRule>
    <cfRule type="cellIs" dxfId="709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08" priority="155" stopIfTrue="1" operator="between">
      <formula>0</formula>
      <formula>749.99</formula>
    </cfRule>
    <cfRule type="cellIs" dxfId="707" priority="156" stopIfTrue="1" operator="greaterThanOrEqual">
      <formula>1500</formula>
    </cfRule>
    <cfRule type="cellIs" dxfId="706" priority="157" operator="greaterThanOrEqual">
      <formula>750</formula>
    </cfRule>
  </conditionalFormatting>
  <conditionalFormatting sqref="D38">
    <cfRule type="cellIs" dxfId="705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04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03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02" priority="117" stopIfTrue="1" operator="between">
      <formula>0</formula>
      <formula>0.0416550925925926</formula>
    </cfRule>
    <cfRule type="cellIs" dxfId="701" priority="118" stopIfTrue="1" operator="between">
      <formula>0.0416666666666667</formula>
      <formula>0.0833217592592593</formula>
    </cfRule>
    <cfRule type="cellIs" dxfId="700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99" priority="71" operator="equal">
      <formula>MAX($D$36,$H$36,$L$36,$P$36,$T$36,$X$36,$AB$36,$AF$36,$AJ$36,$AN$36,$AR$36,$AV$36)</formula>
    </cfRule>
  </conditionalFormatting>
  <conditionalFormatting sqref="AP43">
    <cfRule type="cellIs" dxfId="698" priority="69" operator="lessThan">
      <formula>0</formula>
    </cfRule>
    <cfRule type="cellIs" dxfId="697" priority="70" operator="greaterThanOrEqual">
      <formula>0</formula>
    </cfRule>
  </conditionalFormatting>
  <conditionalFormatting sqref="B34">
    <cfRule type="cellIs" dxfId="696" priority="60" operator="equal">
      <formula>$R$1</formula>
    </cfRule>
    <cfRule type="cellIs" dxfId="695" priority="61" operator="equal">
      <formula>$M$1</formula>
    </cfRule>
  </conditionalFormatting>
  <conditionalFormatting sqref="AL42">
    <cfRule type="cellIs" dxfId="694" priority="55" stopIfTrue="1" operator="lessThan">
      <formula>1000</formula>
    </cfRule>
    <cfRule type="cellIs" dxfId="693" priority="56" stopIfTrue="1" operator="lessThan">
      <formula>1100</formula>
    </cfRule>
    <cfRule type="cellIs" dxfId="692" priority="57" stopIfTrue="1" operator="lessThan">
      <formula>9999</formula>
    </cfRule>
  </conditionalFormatting>
  <conditionalFormatting sqref="AM42">
    <cfRule type="cellIs" dxfId="691" priority="52" stopIfTrue="1" operator="lessThan">
      <formula>10000</formula>
    </cfRule>
    <cfRule type="cellIs" dxfId="690" priority="53" stopIfTrue="1" operator="lessThan">
      <formula>13000</formula>
    </cfRule>
    <cfRule type="cellIs" dxfId="689" priority="54" stopIfTrue="1" operator="lessThan">
      <formula>99999</formula>
    </cfRule>
  </conditionalFormatting>
  <conditionalFormatting sqref="AL43">
    <cfRule type="cellIs" dxfId="688" priority="46" stopIfTrue="1" operator="lessThan">
      <formula>0.05</formula>
    </cfRule>
    <cfRule type="cellIs" dxfId="687" priority="47" stopIfTrue="1" operator="lessThan">
      <formula>0.1</formula>
    </cfRule>
    <cfRule type="cellIs" dxfId="686" priority="48" stopIfTrue="1" operator="lessThanOrEqual">
      <formula>1</formula>
    </cfRule>
  </conditionalFormatting>
  <conditionalFormatting sqref="AQ43">
    <cfRule type="cellIs" dxfId="685" priority="42" stopIfTrue="1" operator="lessThan">
      <formula>0</formula>
    </cfRule>
    <cfRule type="cellIs" dxfId="684" priority="43" operator="greaterThanOrEqual">
      <formula>0</formula>
    </cfRule>
  </conditionalFormatting>
  <conditionalFormatting sqref="F34">
    <cfRule type="cellIs" dxfId="683" priority="38" operator="equal">
      <formula>$R$1</formula>
    </cfRule>
    <cfRule type="cellIs" dxfId="682" priority="39" operator="equal">
      <formula>$M$1</formula>
    </cfRule>
  </conditionalFormatting>
  <conditionalFormatting sqref="J34">
    <cfRule type="cellIs" dxfId="681" priority="35" operator="equal">
      <formula>$R$1</formula>
    </cfRule>
    <cfRule type="cellIs" dxfId="680" priority="36" operator="equal">
      <formula>$M$1</formula>
    </cfRule>
  </conditionalFormatting>
  <conditionalFormatting sqref="N34">
    <cfRule type="cellIs" dxfId="679" priority="32" operator="equal">
      <formula>$R$1</formula>
    </cfRule>
    <cfRule type="cellIs" dxfId="678" priority="33" operator="equal">
      <formula>$M$1</formula>
    </cfRule>
  </conditionalFormatting>
  <conditionalFormatting sqref="R34">
    <cfRule type="cellIs" dxfId="677" priority="29" operator="equal">
      <formula>$R$1</formula>
    </cfRule>
    <cfRule type="cellIs" dxfId="676" priority="30" operator="equal">
      <formula>$M$1</formula>
    </cfRule>
  </conditionalFormatting>
  <conditionalFormatting sqref="V34">
    <cfRule type="cellIs" dxfId="675" priority="26" operator="equal">
      <formula>$R$1</formula>
    </cfRule>
    <cfRule type="cellIs" dxfId="674" priority="27" operator="equal">
      <formula>$M$1</formula>
    </cfRule>
  </conditionalFormatting>
  <conditionalFormatting sqref="Z34">
    <cfRule type="cellIs" dxfId="673" priority="23" operator="equal">
      <formula>$R$1</formula>
    </cfRule>
    <cfRule type="cellIs" dxfId="672" priority="24" operator="equal">
      <formula>$M$1</formula>
    </cfRule>
  </conditionalFormatting>
  <conditionalFormatting sqref="AD34">
    <cfRule type="cellIs" dxfId="671" priority="20" operator="equal">
      <formula>$R$1</formula>
    </cfRule>
    <cfRule type="cellIs" dxfId="670" priority="21" operator="equal">
      <formula>$M$1</formula>
    </cfRule>
  </conditionalFormatting>
  <conditionalFormatting sqref="AH34">
    <cfRule type="cellIs" dxfId="669" priority="17" operator="equal">
      <formula>$R$1</formula>
    </cfRule>
    <cfRule type="cellIs" dxfId="668" priority="18" operator="equal">
      <formula>$M$1</formula>
    </cfRule>
  </conditionalFormatting>
  <conditionalFormatting sqref="AL34">
    <cfRule type="cellIs" dxfId="667" priority="14" operator="equal">
      <formula>$R$1</formula>
    </cfRule>
    <cfRule type="cellIs" dxfId="666" priority="15" operator="equal">
      <formula>$M$1</formula>
    </cfRule>
  </conditionalFormatting>
  <conditionalFormatting sqref="AP34">
    <cfRule type="cellIs" dxfId="665" priority="11" operator="equal">
      <formula>$R$1</formula>
    </cfRule>
    <cfRule type="cellIs" dxfId="664" priority="12" operator="equal">
      <formula>$M$1</formula>
    </cfRule>
  </conditionalFormatting>
  <conditionalFormatting sqref="AT34">
    <cfRule type="cellIs" dxfId="663" priority="8" operator="equal">
      <formula>$R$1</formula>
    </cfRule>
    <cfRule type="cellIs" dxfId="662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7051.7800000000007</v>
      </c>
      <c r="C1" s="382"/>
      <c r="D1" s="83" t="s">
        <v>238</v>
      </c>
      <c r="E1" s="383">
        <f>AT35</f>
        <v>6666.9800000000005</v>
      </c>
      <c r="F1" s="383"/>
      <c r="G1" s="384" t="s">
        <v>152</v>
      </c>
      <c r="H1" s="384"/>
      <c r="I1" s="380">
        <f>MAX(B36,F36,J36,N36,R36,V36,Z36,AD36,AH36,AL36,AP36,AT36)</f>
        <v>124</v>
      </c>
      <c r="J1" s="380"/>
      <c r="K1" s="385" t="s">
        <v>159</v>
      </c>
      <c r="L1" s="385"/>
      <c r="M1" s="386">
        <f>MAX(B34,F34,J34,N34,R34,V34,Z34,AD34,AH34,AL34,AP34,AT34)</f>
        <v>902.05000000000018</v>
      </c>
      <c r="N1" s="386"/>
      <c r="O1" s="379" t="s">
        <v>190</v>
      </c>
      <c r="P1" s="379"/>
      <c r="Q1" s="379"/>
      <c r="R1" s="149">
        <f>MIN(B34,F34,J34,N34,R34,V34,Z34,AD34,AH34,AL34,AP34,AT34)</f>
        <v>241.00999999999996</v>
      </c>
      <c r="S1" s="84" t="s">
        <v>207</v>
      </c>
      <c r="T1" s="372">
        <f>IFERROR(AVERAGE(B37,F37,J37,N37,R37,V37,Z37,AD37,AH37,AL37,AP37,AT37),0)</f>
        <v>24.566448971731607</v>
      </c>
      <c r="U1" s="372"/>
      <c r="V1" s="388" t="s">
        <v>418</v>
      </c>
      <c r="W1" s="388"/>
      <c r="X1" s="388"/>
      <c r="Y1" s="388"/>
      <c r="Z1" s="388"/>
      <c r="AA1" s="85" t="s">
        <v>207</v>
      </c>
      <c r="AB1" s="381">
        <f>IFERROR(AVERAGE(C37,G37,K37,O37,S37,W37,AA37,AE37,AI37,AM37,AQ37,AU37),0)</f>
        <v>261.88691068899544</v>
      </c>
      <c r="AC1" s="381"/>
      <c r="AD1" s="371" t="s">
        <v>190</v>
      </c>
      <c r="AE1" s="371"/>
      <c r="AF1" s="374">
        <f>MIN(C34,G34,K34,O34,S34,W34,AA34,AE34,AI34,AM34,AQ34,AU34)</f>
        <v>1799</v>
      </c>
      <c r="AG1" s="374"/>
      <c r="AH1" s="375" t="s">
        <v>159</v>
      </c>
      <c r="AI1" s="375"/>
      <c r="AJ1" s="376">
        <f>MAX(C34,G34,K34,O34,S34,W34,AA34,AE34,AI34,AM34,AQ34,AU34)</f>
        <v>12610</v>
      </c>
      <c r="AK1" s="376"/>
      <c r="AL1" s="378" t="s">
        <v>153</v>
      </c>
      <c r="AM1" s="378"/>
      <c r="AN1" s="377">
        <f>MAX(C36,G36,K36,O36,S36,W36,AA36,AE36,AI36,AM36,AQ36,AU36)</f>
        <v>2200</v>
      </c>
      <c r="AO1" s="377"/>
      <c r="AP1" s="367" t="s">
        <v>361</v>
      </c>
      <c r="AQ1" s="367"/>
      <c r="AR1" s="368">
        <f>MAX(D36,H36,L36,P36,T36,X36,AB36,AF36,AJ36,AN36,AR36,AV36)</f>
        <v>9.375E-2</v>
      </c>
      <c r="AS1" s="368"/>
      <c r="AT1" s="81" t="s">
        <v>2</v>
      </c>
      <c r="AU1" s="369">
        <f>AU35</f>
        <v>72014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4.1666666666666664E-2</v>
      </c>
      <c r="E3" s="75">
        <v>1</v>
      </c>
      <c r="F3" s="54"/>
      <c r="G3" s="55"/>
      <c r="H3" s="150"/>
      <c r="I3" s="75">
        <v>1</v>
      </c>
      <c r="J3" s="54">
        <v>14.4</v>
      </c>
      <c r="K3" s="55">
        <v>40</v>
      </c>
      <c r="L3" s="150"/>
      <c r="M3" s="75">
        <v>1</v>
      </c>
      <c r="N3" s="54">
        <v>10.029999999999999</v>
      </c>
      <c r="O3" s="55">
        <v>15</v>
      </c>
      <c r="P3" s="150"/>
      <c r="Q3" s="75">
        <v>1</v>
      </c>
      <c r="R3" s="54">
        <v>55.29</v>
      </c>
      <c r="S3" s="55">
        <v>470</v>
      </c>
      <c r="T3" s="150"/>
      <c r="U3" s="75">
        <v>1</v>
      </c>
      <c r="V3" s="54"/>
      <c r="W3" s="55"/>
      <c r="X3" s="150"/>
      <c r="Y3" s="75">
        <v>1</v>
      </c>
      <c r="Z3" s="54"/>
      <c r="AA3" s="55"/>
      <c r="AB3" s="150"/>
      <c r="AC3" s="75">
        <v>1</v>
      </c>
      <c r="AD3" s="54">
        <v>15.2</v>
      </c>
      <c r="AE3" s="55">
        <v>50</v>
      </c>
      <c r="AF3" s="150"/>
      <c r="AG3" s="75">
        <v>1</v>
      </c>
      <c r="AH3" s="54">
        <v>25.09</v>
      </c>
      <c r="AI3" s="55">
        <v>379</v>
      </c>
      <c r="AJ3" s="150"/>
      <c r="AK3" s="75">
        <v>1</v>
      </c>
      <c r="AL3" s="54">
        <v>68.58</v>
      </c>
      <c r="AM3" s="55">
        <v>1003</v>
      </c>
      <c r="AN3" s="150"/>
      <c r="AO3" s="75">
        <v>1</v>
      </c>
      <c r="AP3" s="54">
        <v>10.1</v>
      </c>
      <c r="AQ3" s="55">
        <v>306</v>
      </c>
      <c r="AR3" s="150"/>
      <c r="AS3" s="75">
        <v>1</v>
      </c>
      <c r="AT3" s="54">
        <v>15.5</v>
      </c>
      <c r="AU3" s="55">
        <v>15</v>
      </c>
      <c r="AV3" s="150"/>
      <c r="AW3" s="67"/>
    </row>
    <row r="4" spans="1:49" s="49" customFormat="1" ht="11.25" x14ac:dyDescent="0.2">
      <c r="A4" s="73">
        <f>A3+1</f>
        <v>2</v>
      </c>
      <c r="B4" s="54">
        <v>10.6</v>
      </c>
      <c r="C4" s="55">
        <v>310</v>
      </c>
      <c r="D4" s="150">
        <v>4.8611111111111112E-2</v>
      </c>
      <c r="E4" s="75">
        <f>E3+1</f>
        <v>2</v>
      </c>
      <c r="F4" s="54"/>
      <c r="G4" s="55"/>
      <c r="H4" s="150">
        <v>4.1666666666666664E-2</v>
      </c>
      <c r="I4" s="75">
        <f>I3+1</f>
        <v>2</v>
      </c>
      <c r="J4" s="54">
        <v>19.77</v>
      </c>
      <c r="K4" s="55">
        <v>434</v>
      </c>
      <c r="L4" s="150"/>
      <c r="M4" s="75">
        <f>M3+1</f>
        <v>2</v>
      </c>
      <c r="N4" s="54">
        <v>27.6</v>
      </c>
      <c r="O4" s="55">
        <v>170</v>
      </c>
      <c r="P4" s="150"/>
      <c r="Q4" s="75">
        <f>Q3+1</f>
        <v>2</v>
      </c>
      <c r="R4" s="54"/>
      <c r="S4" s="55"/>
      <c r="T4" s="150"/>
      <c r="U4" s="75">
        <f>U3+1</f>
        <v>2</v>
      </c>
      <c r="V4" s="54">
        <v>45.1</v>
      </c>
      <c r="W4" s="55">
        <v>600</v>
      </c>
      <c r="X4" s="150"/>
      <c r="Y4" s="75">
        <f>Y3+1</f>
        <v>2</v>
      </c>
      <c r="Z4" s="54">
        <v>48.89</v>
      </c>
      <c r="AA4" s="55">
        <v>215</v>
      </c>
      <c r="AB4" s="150"/>
      <c r="AC4" s="75">
        <f>AC3+1</f>
        <v>2</v>
      </c>
      <c r="AD4" s="54">
        <v>15.7</v>
      </c>
      <c r="AE4" s="55">
        <v>115</v>
      </c>
      <c r="AF4" s="150"/>
      <c r="AG4" s="75">
        <f>AG3+1</f>
        <v>2</v>
      </c>
      <c r="AH4" s="54">
        <v>18.760000000000002</v>
      </c>
      <c r="AI4" s="55">
        <v>350</v>
      </c>
      <c r="AJ4" s="150"/>
      <c r="AK4" s="75">
        <f>AK3+1</f>
        <v>2</v>
      </c>
      <c r="AL4" s="54">
        <v>90.07</v>
      </c>
      <c r="AM4" s="55">
        <v>1040</v>
      </c>
      <c r="AN4" s="150"/>
      <c r="AO4" s="75">
        <f>AO3+1</f>
        <v>2</v>
      </c>
      <c r="AP4" s="54"/>
      <c r="AQ4" s="55"/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50"/>
      <c r="E5" s="75">
        <f t="shared" ref="E5:E30" si="1">E4+1</f>
        <v>3</v>
      </c>
      <c r="F5" s="54"/>
      <c r="G5" s="55"/>
      <c r="H5" s="150"/>
      <c r="I5" s="75">
        <f t="shared" ref="I5:I33" si="2">I4+1</f>
        <v>3</v>
      </c>
      <c r="J5" s="54">
        <v>12</v>
      </c>
      <c r="K5" s="55">
        <v>20</v>
      </c>
      <c r="L5" s="150"/>
      <c r="M5" s="75">
        <f t="shared" ref="M5:M32" si="3">M4+1</f>
        <v>3</v>
      </c>
      <c r="N5" s="54">
        <v>34.6</v>
      </c>
      <c r="O5" s="55">
        <v>270</v>
      </c>
      <c r="P5" s="150"/>
      <c r="Q5" s="75">
        <f t="shared" ref="Q5:Q33" si="4">Q4+1</f>
        <v>3</v>
      </c>
      <c r="R5" s="54"/>
      <c r="S5" s="55"/>
      <c r="T5" s="150"/>
      <c r="U5" s="75">
        <f t="shared" ref="U5:U32" si="5">U4+1</f>
        <v>3</v>
      </c>
      <c r="V5" s="54">
        <v>16</v>
      </c>
      <c r="W5" s="55">
        <v>65</v>
      </c>
      <c r="X5" s="150"/>
      <c r="Y5" s="75">
        <f t="shared" ref="Y5:Y33" si="6">Y4+1</f>
        <v>3</v>
      </c>
      <c r="Z5" s="54">
        <v>28.060000000000002</v>
      </c>
      <c r="AA5" s="55">
        <v>148</v>
      </c>
      <c r="AB5" s="150"/>
      <c r="AC5" s="75">
        <f t="shared" ref="AC5:AC33" si="7">AC4+1</f>
        <v>3</v>
      </c>
      <c r="AD5" s="54">
        <v>13.6</v>
      </c>
      <c r="AE5" s="55">
        <v>10</v>
      </c>
      <c r="AF5" s="150"/>
      <c r="AG5" s="75">
        <f t="shared" ref="AG5:AG32" si="8">AG4+1</f>
        <v>3</v>
      </c>
      <c r="AH5" s="54">
        <v>52.39</v>
      </c>
      <c r="AI5" s="55">
        <v>735</v>
      </c>
      <c r="AJ5" s="150"/>
      <c r="AK5" s="75">
        <f t="shared" ref="AK5:AK33" si="9">AK4+1</f>
        <v>3</v>
      </c>
      <c r="AL5" s="54">
        <v>33.85</v>
      </c>
      <c r="AM5" s="55">
        <v>837</v>
      </c>
      <c r="AN5" s="150"/>
      <c r="AO5" s="75">
        <f t="shared" ref="AO5:AO32" si="10">AO4+1</f>
        <v>3</v>
      </c>
      <c r="AP5" s="54">
        <v>15.3</v>
      </c>
      <c r="AQ5" s="55">
        <v>62</v>
      </c>
      <c r="AR5" s="150"/>
      <c r="AS5" s="75">
        <f t="shared" ref="AS5:AS33" si="11">AS4+1</f>
        <v>3</v>
      </c>
      <c r="AT5" s="54"/>
      <c r="AU5" s="55"/>
      <c r="AV5" s="150">
        <v>9.375E-2</v>
      </c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>
        <v>19.149999999999999</v>
      </c>
      <c r="G6" s="55">
        <v>422</v>
      </c>
      <c r="H6" s="150"/>
      <c r="I6" s="75">
        <f t="shared" si="2"/>
        <v>4</v>
      </c>
      <c r="J6" s="54"/>
      <c r="K6" s="55"/>
      <c r="L6" s="150"/>
      <c r="M6" s="75">
        <f t="shared" si="3"/>
        <v>4</v>
      </c>
      <c r="N6" s="54">
        <v>10.5</v>
      </c>
      <c r="O6" s="55">
        <v>15</v>
      </c>
      <c r="P6" s="150"/>
      <c r="Q6" s="75">
        <f t="shared" si="4"/>
        <v>4</v>
      </c>
      <c r="R6" s="54">
        <v>20.5</v>
      </c>
      <c r="S6" s="55">
        <v>43</v>
      </c>
      <c r="T6" s="150"/>
      <c r="U6" s="75">
        <f t="shared" si="5"/>
        <v>4</v>
      </c>
      <c r="V6" s="54"/>
      <c r="W6" s="55"/>
      <c r="X6" s="150"/>
      <c r="Y6" s="75">
        <f t="shared" si="6"/>
        <v>4</v>
      </c>
      <c r="Z6" s="54">
        <v>15.729999999999999</v>
      </c>
      <c r="AA6" s="55">
        <v>140</v>
      </c>
      <c r="AB6" s="150"/>
      <c r="AC6" s="75">
        <f t="shared" si="7"/>
        <v>4</v>
      </c>
      <c r="AD6" s="54">
        <v>20.46</v>
      </c>
      <c r="AE6" s="55">
        <v>210</v>
      </c>
      <c r="AF6" s="150"/>
      <c r="AG6" s="75">
        <f t="shared" si="8"/>
        <v>4</v>
      </c>
      <c r="AH6" s="54">
        <v>53.7</v>
      </c>
      <c r="AI6" s="55">
        <v>643</v>
      </c>
      <c r="AJ6" s="150"/>
      <c r="AK6" s="75">
        <f t="shared" si="9"/>
        <v>4</v>
      </c>
      <c r="AL6" s="54">
        <v>16</v>
      </c>
      <c r="AM6" s="55">
        <v>65</v>
      </c>
      <c r="AN6" s="150"/>
      <c r="AO6" s="75">
        <f t="shared" si="10"/>
        <v>4</v>
      </c>
      <c r="AP6" s="54">
        <v>18.25</v>
      </c>
      <c r="AQ6" s="55">
        <v>13</v>
      </c>
      <c r="AR6" s="150"/>
      <c r="AS6" s="75">
        <f t="shared" si="11"/>
        <v>4</v>
      </c>
      <c r="AT6" s="54"/>
      <c r="AU6" s="55"/>
      <c r="AV6" s="150"/>
      <c r="AW6" s="67"/>
    </row>
    <row r="7" spans="1:49" s="49" customFormat="1" ht="11.25" x14ac:dyDescent="0.2">
      <c r="A7" s="73">
        <f t="shared" si="0"/>
        <v>5</v>
      </c>
      <c r="B7" s="54">
        <v>11.3</v>
      </c>
      <c r="C7" s="55">
        <v>20</v>
      </c>
      <c r="D7" s="150"/>
      <c r="E7" s="75">
        <f t="shared" si="1"/>
        <v>5</v>
      </c>
      <c r="F7" s="54">
        <v>15.81</v>
      </c>
      <c r="G7" s="55">
        <v>356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29.05</v>
      </c>
      <c r="O7" s="55">
        <v>190</v>
      </c>
      <c r="P7" s="150"/>
      <c r="Q7" s="75">
        <f t="shared" si="4"/>
        <v>5</v>
      </c>
      <c r="R7" s="54">
        <v>16</v>
      </c>
      <c r="S7" s="55">
        <v>65</v>
      </c>
      <c r="T7" s="150"/>
      <c r="U7" s="75">
        <f t="shared" si="5"/>
        <v>5</v>
      </c>
      <c r="V7" s="54">
        <v>124</v>
      </c>
      <c r="W7" s="55">
        <v>1445</v>
      </c>
      <c r="X7" s="150"/>
      <c r="Y7" s="75">
        <f t="shared" si="6"/>
        <v>5</v>
      </c>
      <c r="Z7" s="54">
        <v>10.1</v>
      </c>
      <c r="AA7" s="55">
        <v>306</v>
      </c>
      <c r="AB7" s="150"/>
      <c r="AC7" s="75">
        <f t="shared" si="7"/>
        <v>5</v>
      </c>
      <c r="AD7" s="54">
        <v>21.119999999999997</v>
      </c>
      <c r="AE7" s="55">
        <v>60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7.2</v>
      </c>
      <c r="AM7" s="55">
        <v>2</v>
      </c>
      <c r="AN7" s="150"/>
      <c r="AO7" s="75">
        <f t="shared" si="10"/>
        <v>5</v>
      </c>
      <c r="AP7" s="54">
        <v>23.3</v>
      </c>
      <c r="AQ7" s="55">
        <v>73</v>
      </c>
      <c r="AR7" s="150"/>
      <c r="AS7" s="75">
        <f t="shared" si="11"/>
        <v>5</v>
      </c>
      <c r="AT7" s="54">
        <v>10</v>
      </c>
      <c r="AU7" s="55">
        <v>13</v>
      </c>
      <c r="AV7" s="150"/>
      <c r="AW7" s="67"/>
    </row>
    <row r="8" spans="1:49" s="49" customFormat="1" ht="11.25" x14ac:dyDescent="0.2">
      <c r="A8" s="73">
        <f t="shared" si="0"/>
        <v>6</v>
      </c>
      <c r="B8" s="54"/>
      <c r="C8" s="55"/>
      <c r="D8" s="150">
        <v>2.0833333333333332E-2</v>
      </c>
      <c r="E8" s="75">
        <f t="shared" si="1"/>
        <v>6</v>
      </c>
      <c r="F8" s="54">
        <v>16.850000000000001</v>
      </c>
      <c r="G8" s="55">
        <v>536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10.5</v>
      </c>
      <c r="O8" s="55">
        <v>15</v>
      </c>
      <c r="P8" s="150"/>
      <c r="Q8" s="75">
        <f t="shared" si="4"/>
        <v>6</v>
      </c>
      <c r="R8" s="54">
        <v>14.45</v>
      </c>
      <c r="S8" s="55">
        <v>140</v>
      </c>
      <c r="T8" s="150"/>
      <c r="U8" s="75">
        <f t="shared" si="5"/>
        <v>6</v>
      </c>
      <c r="V8" s="54"/>
      <c r="W8" s="55"/>
      <c r="X8" s="150"/>
      <c r="Y8" s="75">
        <f t="shared" si="6"/>
        <v>6</v>
      </c>
      <c r="Z8" s="54">
        <v>10.56</v>
      </c>
      <c r="AA8" s="55">
        <v>70</v>
      </c>
      <c r="AB8" s="150"/>
      <c r="AC8" s="75">
        <f t="shared" si="7"/>
        <v>6</v>
      </c>
      <c r="AD8" s="54">
        <v>94.3</v>
      </c>
      <c r="AE8" s="55">
        <v>1310</v>
      </c>
      <c r="AF8" s="150"/>
      <c r="AG8" s="75">
        <f t="shared" si="8"/>
        <v>6</v>
      </c>
      <c r="AH8" s="54"/>
      <c r="AI8" s="55"/>
      <c r="AJ8" s="150"/>
      <c r="AK8" s="75">
        <f t="shared" si="9"/>
        <v>6</v>
      </c>
      <c r="AL8" s="54">
        <v>9.4499999999999993</v>
      </c>
      <c r="AM8" s="55">
        <v>40</v>
      </c>
      <c r="AN8" s="150"/>
      <c r="AO8" s="75">
        <f t="shared" si="10"/>
        <v>6</v>
      </c>
      <c r="AP8" s="54">
        <v>37.200000000000003</v>
      </c>
      <c r="AQ8" s="55">
        <v>201</v>
      </c>
      <c r="AR8" s="150"/>
      <c r="AS8" s="75">
        <f t="shared" si="11"/>
        <v>6</v>
      </c>
      <c r="AT8" s="54">
        <v>10.5</v>
      </c>
      <c r="AU8" s="55">
        <v>7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15</v>
      </c>
      <c r="G9" s="55">
        <v>20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21.2</v>
      </c>
      <c r="O9" s="55">
        <v>30</v>
      </c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/>
      <c r="W9" s="55"/>
      <c r="X9" s="150"/>
      <c r="Y9" s="75">
        <f t="shared" si="6"/>
        <v>7</v>
      </c>
      <c r="Z9" s="54">
        <v>15.6</v>
      </c>
      <c r="AA9" s="55">
        <v>40</v>
      </c>
      <c r="AB9" s="150"/>
      <c r="AC9" s="75">
        <f t="shared" si="7"/>
        <v>7</v>
      </c>
      <c r="AD9" s="54">
        <v>38.14</v>
      </c>
      <c r="AE9" s="55">
        <v>320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/>
      <c r="AM9" s="55"/>
      <c r="AN9" s="150"/>
      <c r="AO9" s="75">
        <f t="shared" si="10"/>
        <v>7</v>
      </c>
      <c r="AP9" s="54">
        <v>12.3</v>
      </c>
      <c r="AQ9" s="55">
        <v>60</v>
      </c>
      <c r="AR9" s="150"/>
      <c r="AS9" s="75">
        <f t="shared" si="11"/>
        <v>7</v>
      </c>
      <c r="AT9" s="54">
        <v>11.4</v>
      </c>
      <c r="AU9" s="55">
        <v>40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10.56</v>
      </c>
      <c r="C10" s="55">
        <v>70</v>
      </c>
      <c r="D10" s="150"/>
      <c r="E10" s="75">
        <f t="shared" si="1"/>
        <v>8</v>
      </c>
      <c r="F10" s="54">
        <v>15.85</v>
      </c>
      <c r="G10" s="55">
        <v>155</v>
      </c>
      <c r="H10" s="150"/>
      <c r="I10" s="75">
        <f t="shared" si="2"/>
        <v>8</v>
      </c>
      <c r="J10" s="54">
        <v>11.4</v>
      </c>
      <c r="K10" s="55">
        <v>40</v>
      </c>
      <c r="L10" s="150"/>
      <c r="M10" s="75">
        <f t="shared" si="3"/>
        <v>8</v>
      </c>
      <c r="N10" s="54">
        <v>10.56</v>
      </c>
      <c r="O10" s="55">
        <v>70</v>
      </c>
      <c r="P10" s="150"/>
      <c r="Q10" s="75">
        <f t="shared" si="4"/>
        <v>8</v>
      </c>
      <c r="R10" s="54">
        <v>85.2</v>
      </c>
      <c r="S10" s="55">
        <v>856</v>
      </c>
      <c r="T10" s="150"/>
      <c r="U10" s="75">
        <f t="shared" si="5"/>
        <v>8</v>
      </c>
      <c r="V10" s="54">
        <v>11.4</v>
      </c>
      <c r="W10" s="55">
        <v>40</v>
      </c>
      <c r="X10" s="150"/>
      <c r="Y10" s="75">
        <f t="shared" si="6"/>
        <v>8</v>
      </c>
      <c r="Z10" s="54"/>
      <c r="AA10" s="55"/>
      <c r="AB10" s="150"/>
      <c r="AC10" s="75">
        <f t="shared" si="7"/>
        <v>8</v>
      </c>
      <c r="AD10" s="54"/>
      <c r="AE10" s="55"/>
      <c r="AF10" s="150"/>
      <c r="AG10" s="75">
        <f t="shared" si="8"/>
        <v>8</v>
      </c>
      <c r="AJ10" s="150"/>
      <c r="AK10" s="75">
        <f t="shared" si="9"/>
        <v>8</v>
      </c>
      <c r="AL10" s="54">
        <v>16.8</v>
      </c>
      <c r="AM10" s="55">
        <v>80</v>
      </c>
      <c r="AN10" s="150"/>
      <c r="AO10" s="75">
        <f t="shared" si="10"/>
        <v>8</v>
      </c>
      <c r="AP10" s="54">
        <v>9.74</v>
      </c>
      <c r="AQ10" s="55">
        <v>12</v>
      </c>
      <c r="AR10" s="150"/>
      <c r="AS10" s="75">
        <f t="shared" si="11"/>
        <v>8</v>
      </c>
      <c r="AT10" s="54"/>
      <c r="AU10" s="55"/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>
        <v>5.2083333333333336E-2</v>
      </c>
      <c r="E11" s="75">
        <f t="shared" si="1"/>
        <v>9</v>
      </c>
      <c r="F11" s="54"/>
      <c r="G11" s="55"/>
      <c r="H11" s="150"/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58.78</v>
      </c>
      <c r="O11" s="55">
        <v>850</v>
      </c>
      <c r="P11" s="150"/>
      <c r="Q11" s="75">
        <f t="shared" si="4"/>
        <v>9</v>
      </c>
      <c r="R11" s="54">
        <v>18.920000000000002</v>
      </c>
      <c r="S11" s="55">
        <v>85</v>
      </c>
      <c r="T11" s="150"/>
      <c r="U11" s="75">
        <f t="shared" si="5"/>
        <v>9</v>
      </c>
      <c r="V11" s="54">
        <v>6</v>
      </c>
      <c r="W11" s="55">
        <v>0</v>
      </c>
      <c r="X11" s="150"/>
      <c r="Y11" s="75">
        <f t="shared" si="6"/>
        <v>9</v>
      </c>
      <c r="Z11" s="54">
        <v>20.3</v>
      </c>
      <c r="AA11" s="55">
        <v>360</v>
      </c>
      <c r="AB11" s="150"/>
      <c r="AC11" s="75">
        <f t="shared" si="7"/>
        <v>9</v>
      </c>
      <c r="AD11" s="54"/>
      <c r="AE11" s="55"/>
      <c r="AF11" s="150"/>
      <c r="AG11" s="75">
        <f t="shared" si="8"/>
        <v>9</v>
      </c>
      <c r="AH11" s="54"/>
      <c r="AI11" s="55"/>
      <c r="AJ11" s="150"/>
      <c r="AK11" s="75">
        <f t="shared" si="9"/>
        <v>9</v>
      </c>
      <c r="AL11" s="54">
        <v>53.23</v>
      </c>
      <c r="AM11" s="55">
        <v>298</v>
      </c>
      <c r="AN11" s="150">
        <v>2.0833333333333332E-2</v>
      </c>
      <c r="AO11" s="75">
        <f t="shared" si="10"/>
        <v>9</v>
      </c>
      <c r="AP11" s="54"/>
      <c r="AQ11" s="55"/>
      <c r="AR11" s="150"/>
      <c r="AS11" s="75">
        <f t="shared" si="11"/>
        <v>9</v>
      </c>
      <c r="AT11" s="54">
        <v>20.5</v>
      </c>
      <c r="AU11" s="55">
        <v>19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14.7</v>
      </c>
      <c r="C12" s="55">
        <v>2</v>
      </c>
      <c r="D12" s="150"/>
      <c r="E12" s="75">
        <f t="shared" si="1"/>
        <v>10</v>
      </c>
      <c r="F12" s="54">
        <v>22.33</v>
      </c>
      <c r="G12" s="55">
        <v>412</v>
      </c>
      <c r="H12" s="150"/>
      <c r="I12" s="75">
        <f t="shared" si="2"/>
        <v>10</v>
      </c>
      <c r="J12" s="54">
        <v>10</v>
      </c>
      <c r="K12" s="55">
        <v>2</v>
      </c>
      <c r="L12" s="150"/>
      <c r="M12" s="75">
        <f t="shared" si="3"/>
        <v>10</v>
      </c>
      <c r="N12" s="54">
        <v>57.1</v>
      </c>
      <c r="O12" s="55">
        <v>912</v>
      </c>
      <c r="P12" s="150"/>
      <c r="Q12" s="75">
        <f t="shared" si="4"/>
        <v>10</v>
      </c>
      <c r="R12" s="54">
        <v>14.27</v>
      </c>
      <c r="S12" s="55">
        <v>45</v>
      </c>
      <c r="T12" s="150"/>
      <c r="U12" s="75">
        <f t="shared" si="5"/>
        <v>10</v>
      </c>
      <c r="V12" s="54">
        <v>15.86</v>
      </c>
      <c r="W12" s="55">
        <v>30</v>
      </c>
      <c r="X12" s="150"/>
      <c r="Y12" s="75">
        <f t="shared" si="6"/>
        <v>10</v>
      </c>
      <c r="Z12" s="54">
        <v>20.8</v>
      </c>
      <c r="AA12" s="55">
        <v>91</v>
      </c>
      <c r="AB12" s="150"/>
      <c r="AC12" s="75">
        <f t="shared" si="7"/>
        <v>10</v>
      </c>
      <c r="AD12" s="54">
        <v>13.6</v>
      </c>
      <c r="AE12" s="55">
        <v>10</v>
      </c>
      <c r="AF12" s="150"/>
      <c r="AG12" s="75">
        <f t="shared" si="8"/>
        <v>10</v>
      </c>
      <c r="AJ12" s="150"/>
      <c r="AK12" s="75">
        <f t="shared" si="9"/>
        <v>10</v>
      </c>
      <c r="AL12" s="54">
        <v>20.150000000000002</v>
      </c>
      <c r="AM12" s="55">
        <v>80</v>
      </c>
      <c r="AN12" s="150"/>
      <c r="AO12" s="75">
        <f t="shared" si="10"/>
        <v>10</v>
      </c>
      <c r="AP12" s="54">
        <v>12</v>
      </c>
      <c r="AQ12" s="55">
        <v>8</v>
      </c>
      <c r="AR12" s="150"/>
      <c r="AS12" s="75">
        <f t="shared" si="11"/>
        <v>10</v>
      </c>
      <c r="AT12" s="54">
        <v>42.05</v>
      </c>
      <c r="AU12" s="55">
        <v>457</v>
      </c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/>
      <c r="G13" s="55"/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10</v>
      </c>
      <c r="O13" s="55">
        <v>80</v>
      </c>
      <c r="P13" s="150"/>
      <c r="Q13" s="75">
        <f t="shared" si="4"/>
        <v>11</v>
      </c>
      <c r="R13" s="54">
        <v>10.56</v>
      </c>
      <c r="S13" s="55">
        <v>70</v>
      </c>
      <c r="T13" s="150"/>
      <c r="U13" s="75">
        <f t="shared" si="5"/>
        <v>11</v>
      </c>
      <c r="V13" s="54">
        <v>48.2</v>
      </c>
      <c r="W13" s="55">
        <v>582</v>
      </c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22.8</v>
      </c>
      <c r="AE13" s="55">
        <v>329</v>
      </c>
      <c r="AF13" s="150"/>
      <c r="AG13" s="75">
        <f t="shared" si="8"/>
        <v>11</v>
      </c>
      <c r="AH13" s="54"/>
      <c r="AI13" s="55"/>
      <c r="AJ13" s="150"/>
      <c r="AK13" s="75">
        <f t="shared" si="9"/>
        <v>11</v>
      </c>
      <c r="AL13" s="54"/>
      <c r="AM13" s="55"/>
      <c r="AN13" s="150"/>
      <c r="AO13" s="75">
        <f t="shared" si="10"/>
        <v>11</v>
      </c>
      <c r="AP13" s="54">
        <v>16.649999999999999</v>
      </c>
      <c r="AQ13" s="55">
        <v>33</v>
      </c>
      <c r="AR13" s="150"/>
      <c r="AS13" s="75">
        <f t="shared" si="11"/>
        <v>11</v>
      </c>
      <c r="AT13" s="54">
        <v>23.34</v>
      </c>
      <c r="AU13" s="55">
        <v>293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/>
      <c r="G14" s="55"/>
      <c r="H14" s="150"/>
      <c r="I14" s="75">
        <f t="shared" si="2"/>
        <v>12</v>
      </c>
      <c r="J14" s="54">
        <v>62.42</v>
      </c>
      <c r="K14" s="55">
        <v>816</v>
      </c>
      <c r="L14" s="150"/>
      <c r="M14" s="75">
        <f t="shared" si="3"/>
        <v>12</v>
      </c>
      <c r="N14" s="54"/>
      <c r="O14" s="55"/>
      <c r="P14" s="150"/>
      <c r="Q14" s="75">
        <f t="shared" si="4"/>
        <v>12</v>
      </c>
      <c r="R14" s="54">
        <v>14.76</v>
      </c>
      <c r="S14" s="55">
        <v>334</v>
      </c>
      <c r="T14" s="150"/>
      <c r="U14" s="75">
        <f t="shared" si="5"/>
        <v>12</v>
      </c>
      <c r="V14" s="54">
        <v>57.6</v>
      </c>
      <c r="W14" s="55">
        <v>1033</v>
      </c>
      <c r="X14" s="150"/>
      <c r="Y14" s="75">
        <f t="shared" si="6"/>
        <v>12</v>
      </c>
      <c r="Z14" s="54">
        <v>10.56</v>
      </c>
      <c r="AA14" s="55">
        <v>70</v>
      </c>
      <c r="AB14" s="150"/>
      <c r="AC14" s="75">
        <f t="shared" si="7"/>
        <v>12</v>
      </c>
      <c r="AD14" s="54">
        <v>16</v>
      </c>
      <c r="AE14" s="78">
        <v>65</v>
      </c>
      <c r="AF14" s="150"/>
      <c r="AG14" s="75">
        <f t="shared" si="8"/>
        <v>12</v>
      </c>
      <c r="AH14" s="54"/>
      <c r="AI14" s="55"/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33.799999999999997</v>
      </c>
      <c r="AQ14" s="55">
        <v>75</v>
      </c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/>
      <c r="I15" s="75">
        <f t="shared" si="2"/>
        <v>13</v>
      </c>
      <c r="J15" s="54"/>
      <c r="K15" s="55"/>
      <c r="L15" s="150"/>
      <c r="M15" s="75">
        <f t="shared" si="3"/>
        <v>13</v>
      </c>
      <c r="N15" s="54">
        <v>10</v>
      </c>
      <c r="O15" s="55">
        <v>80</v>
      </c>
      <c r="P15" s="150"/>
      <c r="Q15" s="75">
        <f t="shared" si="4"/>
        <v>13</v>
      </c>
      <c r="R15" s="54">
        <v>24.4</v>
      </c>
      <c r="S15" s="55">
        <v>530</v>
      </c>
      <c r="T15" s="150"/>
      <c r="U15" s="75">
        <f t="shared" si="5"/>
        <v>13</v>
      </c>
      <c r="V15" s="54">
        <v>14.9</v>
      </c>
      <c r="W15" s="55">
        <v>65</v>
      </c>
      <c r="X15" s="150"/>
      <c r="Y15" s="75">
        <f t="shared" si="6"/>
        <v>13</v>
      </c>
      <c r="Z15" s="54"/>
      <c r="AA15" s="55"/>
      <c r="AB15" s="150"/>
      <c r="AC15" s="75">
        <f t="shared" si="7"/>
        <v>13</v>
      </c>
      <c r="AD15" s="54">
        <v>63.69</v>
      </c>
      <c r="AE15" s="55">
        <v>647</v>
      </c>
      <c r="AF15" s="150"/>
      <c r="AG15" s="75">
        <f t="shared" si="8"/>
        <v>13</v>
      </c>
      <c r="AH15" s="54"/>
      <c r="AI15" s="55"/>
      <c r="AJ15" s="150"/>
      <c r="AK15" s="75">
        <f t="shared" si="9"/>
        <v>13</v>
      </c>
      <c r="AL15" s="54">
        <v>13.4</v>
      </c>
      <c r="AM15" s="55">
        <v>40</v>
      </c>
      <c r="AN15" s="150"/>
      <c r="AO15" s="75">
        <f t="shared" si="10"/>
        <v>13</v>
      </c>
      <c r="AP15" s="54">
        <v>17.490000000000002</v>
      </c>
      <c r="AQ15" s="55">
        <v>130</v>
      </c>
      <c r="AR15" s="150"/>
      <c r="AS15" s="75">
        <f t="shared" si="11"/>
        <v>13</v>
      </c>
      <c r="AT15" s="54">
        <v>10.66</v>
      </c>
      <c r="AU15" s="55">
        <v>100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17.5</v>
      </c>
      <c r="C16" s="55">
        <v>100</v>
      </c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>
        <v>10.1</v>
      </c>
      <c r="O16" s="55">
        <v>306</v>
      </c>
      <c r="P16" s="150"/>
      <c r="Q16" s="75">
        <f t="shared" si="4"/>
        <v>14</v>
      </c>
      <c r="R16" s="54">
        <v>44</v>
      </c>
      <c r="S16" s="49">
        <v>750</v>
      </c>
      <c r="T16" s="150"/>
      <c r="U16" s="75">
        <f t="shared" si="5"/>
        <v>14</v>
      </c>
      <c r="V16" s="54">
        <v>35.9</v>
      </c>
      <c r="W16" s="55">
        <v>1033</v>
      </c>
      <c r="X16" s="150"/>
      <c r="Y16" s="75">
        <f t="shared" si="6"/>
        <v>14</v>
      </c>
      <c r="Z16" s="54">
        <v>12.41</v>
      </c>
      <c r="AA16" s="55">
        <v>80</v>
      </c>
      <c r="AB16" s="150"/>
      <c r="AC16" s="75">
        <f t="shared" si="7"/>
        <v>14</v>
      </c>
      <c r="AD16" s="54">
        <v>42.76</v>
      </c>
      <c r="AE16" s="55">
        <v>700</v>
      </c>
      <c r="AF16" s="150"/>
      <c r="AG16" s="75">
        <f t="shared" si="8"/>
        <v>14</v>
      </c>
      <c r="AH16" s="54">
        <v>17.66</v>
      </c>
      <c r="AI16" s="55">
        <v>419</v>
      </c>
      <c r="AJ16" s="150"/>
      <c r="AK16" s="75">
        <f t="shared" si="9"/>
        <v>14</v>
      </c>
      <c r="AL16" s="54">
        <v>20.3</v>
      </c>
      <c r="AM16" s="55">
        <v>360</v>
      </c>
      <c r="AN16" s="150"/>
      <c r="AO16" s="75">
        <f t="shared" si="10"/>
        <v>14</v>
      </c>
      <c r="AP16" s="54">
        <v>10.96</v>
      </c>
      <c r="AQ16" s="55">
        <v>17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50"/>
      <c r="E17" s="75">
        <f t="shared" si="1"/>
        <v>15</v>
      </c>
      <c r="F17" s="54">
        <v>15.86</v>
      </c>
      <c r="G17" s="55">
        <v>30</v>
      </c>
      <c r="H17" s="150"/>
      <c r="I17" s="75">
        <f t="shared" si="2"/>
        <v>15</v>
      </c>
      <c r="J17" s="54">
        <v>22.5</v>
      </c>
      <c r="K17" s="55">
        <v>75</v>
      </c>
      <c r="L17" s="150"/>
      <c r="M17" s="75">
        <f t="shared" si="3"/>
        <v>15</v>
      </c>
      <c r="N17" s="54">
        <v>10.43</v>
      </c>
      <c r="O17" s="55">
        <v>81</v>
      </c>
      <c r="P17" s="150"/>
      <c r="Q17" s="75">
        <f t="shared" si="4"/>
        <v>15</v>
      </c>
      <c r="R17" s="54"/>
      <c r="T17" s="150"/>
      <c r="U17" s="75">
        <f t="shared" si="5"/>
        <v>15</v>
      </c>
      <c r="V17" s="54">
        <v>63.04</v>
      </c>
      <c r="W17" s="55">
        <v>1910</v>
      </c>
      <c r="X17" s="150"/>
      <c r="Y17" s="75">
        <f t="shared" si="6"/>
        <v>15</v>
      </c>
      <c r="Z17" s="54">
        <v>20.5</v>
      </c>
      <c r="AA17" s="55">
        <v>370</v>
      </c>
      <c r="AB17" s="150"/>
      <c r="AC17" s="75">
        <f t="shared" si="7"/>
        <v>15</v>
      </c>
      <c r="AD17" s="54">
        <v>22.1</v>
      </c>
      <c r="AE17" s="55">
        <v>112</v>
      </c>
      <c r="AF17" s="150"/>
      <c r="AG17" s="75">
        <f t="shared" si="8"/>
        <v>15</v>
      </c>
      <c r="AH17" s="54">
        <v>16.43</v>
      </c>
      <c r="AI17" s="55">
        <v>346</v>
      </c>
      <c r="AJ17" s="150"/>
      <c r="AK17" s="75">
        <f t="shared" si="9"/>
        <v>15</v>
      </c>
      <c r="AL17" s="54">
        <v>46.06</v>
      </c>
      <c r="AM17" s="55">
        <v>650</v>
      </c>
      <c r="AN17" s="150"/>
      <c r="AO17" s="75">
        <f t="shared" si="10"/>
        <v>15</v>
      </c>
      <c r="AP17" s="54">
        <v>11.3</v>
      </c>
      <c r="AQ17" s="55">
        <v>60</v>
      </c>
      <c r="AR17" s="150"/>
      <c r="AS17" s="75">
        <f t="shared" si="11"/>
        <v>15</v>
      </c>
      <c r="AT17" s="54">
        <v>14.26</v>
      </c>
      <c r="AU17" s="55">
        <v>74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34.4</v>
      </c>
      <c r="C18" s="55">
        <v>600</v>
      </c>
      <c r="D18" s="150"/>
      <c r="E18" s="75">
        <f t="shared" si="1"/>
        <v>16</v>
      </c>
      <c r="F18" s="54">
        <v>11.8</v>
      </c>
      <c r="G18" s="55">
        <v>42</v>
      </c>
      <c r="H18" s="150"/>
      <c r="I18" s="75">
        <f t="shared" si="2"/>
        <v>16</v>
      </c>
      <c r="J18" s="54">
        <v>11</v>
      </c>
      <c r="K18" s="55">
        <v>13</v>
      </c>
      <c r="L18" s="150"/>
      <c r="M18" s="75">
        <f t="shared" si="3"/>
        <v>16</v>
      </c>
      <c r="N18" s="54">
        <v>27.22</v>
      </c>
      <c r="O18" s="55">
        <v>175</v>
      </c>
      <c r="P18" s="150"/>
      <c r="Q18" s="75">
        <f t="shared" si="4"/>
        <v>16</v>
      </c>
      <c r="R18" s="54">
        <v>10</v>
      </c>
      <c r="S18" s="55">
        <v>20</v>
      </c>
      <c r="T18" s="150"/>
      <c r="U18" s="75">
        <f t="shared" si="5"/>
        <v>16</v>
      </c>
      <c r="V18" s="54">
        <v>55.8</v>
      </c>
      <c r="W18" s="55">
        <v>1000</v>
      </c>
      <c r="X18" s="150"/>
      <c r="Y18" s="75">
        <f t="shared" si="6"/>
        <v>16</v>
      </c>
      <c r="Z18" s="54">
        <v>101.35</v>
      </c>
      <c r="AA18" s="55">
        <v>1300</v>
      </c>
      <c r="AB18" s="150"/>
      <c r="AC18" s="75">
        <f t="shared" si="7"/>
        <v>16</v>
      </c>
      <c r="AD18" s="54">
        <v>21.5</v>
      </c>
      <c r="AE18" s="55">
        <v>90</v>
      </c>
      <c r="AF18" s="150"/>
      <c r="AG18" s="75">
        <f t="shared" si="8"/>
        <v>16</v>
      </c>
      <c r="AH18" s="54">
        <v>18.760000000000002</v>
      </c>
      <c r="AI18" s="55">
        <v>350</v>
      </c>
      <c r="AJ18" s="150"/>
      <c r="AK18" s="75">
        <f t="shared" si="9"/>
        <v>16</v>
      </c>
      <c r="AL18" s="54">
        <v>50.26</v>
      </c>
      <c r="AM18" s="55">
        <v>470</v>
      </c>
      <c r="AN18" s="150"/>
      <c r="AO18" s="75">
        <f t="shared" si="10"/>
        <v>16</v>
      </c>
      <c r="AP18" s="54">
        <v>10.7</v>
      </c>
      <c r="AQ18" s="55">
        <v>60</v>
      </c>
      <c r="AR18" s="150"/>
      <c r="AS18" s="75">
        <f t="shared" si="11"/>
        <v>16</v>
      </c>
      <c r="AT18" s="54"/>
      <c r="AU18" s="55"/>
      <c r="AV18" s="150">
        <v>3.125E-2</v>
      </c>
      <c r="AW18" s="67"/>
    </row>
    <row r="19" spans="1:49" s="49" customFormat="1" ht="11.25" x14ac:dyDescent="0.2">
      <c r="A19" s="73">
        <f t="shared" si="0"/>
        <v>17</v>
      </c>
      <c r="B19" s="54">
        <v>15.85</v>
      </c>
      <c r="C19" s="55">
        <v>292</v>
      </c>
      <c r="D19" s="150"/>
      <c r="E19" s="75">
        <f t="shared" si="1"/>
        <v>17</v>
      </c>
      <c r="F19" s="54">
        <v>14.23</v>
      </c>
      <c r="G19" s="55">
        <v>20</v>
      </c>
      <c r="H19" s="150"/>
      <c r="I19" s="75">
        <f t="shared" si="2"/>
        <v>17</v>
      </c>
      <c r="J19" s="54"/>
      <c r="K19" s="55"/>
      <c r="L19" s="150"/>
      <c r="M19" s="75">
        <f t="shared" si="3"/>
        <v>17</v>
      </c>
      <c r="N19" s="54">
        <v>59.88</v>
      </c>
      <c r="O19" s="55">
        <v>612</v>
      </c>
      <c r="P19" s="150"/>
      <c r="Q19" s="75">
        <f t="shared" si="4"/>
        <v>17</v>
      </c>
      <c r="R19" s="54">
        <v>12.56</v>
      </c>
      <c r="S19" s="55">
        <v>70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/>
      <c r="AA19" s="55"/>
      <c r="AB19" s="150"/>
      <c r="AC19" s="75">
        <f t="shared" si="7"/>
        <v>17</v>
      </c>
      <c r="AD19" s="54">
        <v>14.4</v>
      </c>
      <c r="AE19" s="55">
        <v>170</v>
      </c>
      <c r="AF19" s="150"/>
      <c r="AG19" s="75">
        <f t="shared" si="8"/>
        <v>17</v>
      </c>
      <c r="AH19" s="54">
        <v>12.84</v>
      </c>
      <c r="AI19" s="55">
        <v>286</v>
      </c>
      <c r="AJ19" s="150"/>
      <c r="AK19" s="75">
        <f t="shared" si="9"/>
        <v>17</v>
      </c>
      <c r="AL19" s="54">
        <v>20.25</v>
      </c>
      <c r="AM19" s="55">
        <v>10</v>
      </c>
      <c r="AN19" s="150"/>
      <c r="AO19" s="75">
        <f t="shared" si="10"/>
        <v>17</v>
      </c>
      <c r="AP19" s="54">
        <v>12.3</v>
      </c>
      <c r="AQ19" s="55">
        <v>60</v>
      </c>
      <c r="AR19" s="150"/>
      <c r="AS19" s="75">
        <f t="shared" si="11"/>
        <v>17</v>
      </c>
      <c r="AT19" s="54">
        <v>28.65</v>
      </c>
      <c r="AU19" s="55">
        <v>317</v>
      </c>
      <c r="AV19" s="150">
        <v>3.125E-2</v>
      </c>
      <c r="AW19" s="67"/>
    </row>
    <row r="20" spans="1:49" s="49" customFormat="1" ht="11.25" x14ac:dyDescent="0.2">
      <c r="A20" s="73">
        <f t="shared" si="0"/>
        <v>18</v>
      </c>
      <c r="B20" s="54">
        <v>15.48</v>
      </c>
      <c r="C20" s="55">
        <v>96</v>
      </c>
      <c r="D20" s="150"/>
      <c r="E20" s="75">
        <f t="shared" si="1"/>
        <v>18</v>
      </c>
      <c r="F20" s="54">
        <v>16.739999999999998</v>
      </c>
      <c r="G20" s="55">
        <v>150</v>
      </c>
      <c r="H20" s="150"/>
      <c r="I20" s="75">
        <f t="shared" si="2"/>
        <v>18</v>
      </c>
      <c r="J20" s="54">
        <v>16.86</v>
      </c>
      <c r="K20" s="55">
        <v>163</v>
      </c>
      <c r="L20" s="150"/>
      <c r="M20" s="75">
        <f t="shared" si="3"/>
        <v>18</v>
      </c>
      <c r="N20" s="54">
        <v>22.06</v>
      </c>
      <c r="O20" s="55">
        <v>83</v>
      </c>
      <c r="P20" s="150"/>
      <c r="Q20" s="75">
        <f t="shared" si="4"/>
        <v>18</v>
      </c>
      <c r="R20" s="54">
        <v>12.56</v>
      </c>
      <c r="S20" s="55">
        <v>70</v>
      </c>
      <c r="T20" s="150"/>
      <c r="U20" s="75">
        <f t="shared" si="5"/>
        <v>18</v>
      </c>
      <c r="V20" s="54">
        <v>10</v>
      </c>
      <c r="W20" s="55">
        <v>20</v>
      </c>
      <c r="X20" s="150"/>
      <c r="Y20" s="75">
        <f t="shared" si="6"/>
        <v>18</v>
      </c>
      <c r="Z20" s="54">
        <v>15.5</v>
      </c>
      <c r="AA20" s="55">
        <v>100</v>
      </c>
      <c r="AB20" s="150"/>
      <c r="AC20" s="75">
        <f t="shared" si="7"/>
        <v>18</v>
      </c>
      <c r="AD20" s="54">
        <v>14.4</v>
      </c>
      <c r="AE20" s="55">
        <v>170</v>
      </c>
      <c r="AF20" s="150"/>
      <c r="AG20" s="75">
        <f t="shared" si="8"/>
        <v>18</v>
      </c>
      <c r="AH20" s="54">
        <v>14.27</v>
      </c>
      <c r="AI20" s="55">
        <v>45</v>
      </c>
      <c r="AJ20" s="150"/>
      <c r="AK20" s="75">
        <f t="shared" si="9"/>
        <v>18</v>
      </c>
      <c r="AL20" s="54">
        <v>12.84</v>
      </c>
      <c r="AM20" s="55">
        <v>286</v>
      </c>
      <c r="AN20" s="150"/>
      <c r="AO20" s="75">
        <f t="shared" si="10"/>
        <v>18</v>
      </c>
      <c r="AP20" s="54">
        <v>12.84</v>
      </c>
      <c r="AQ20" s="55">
        <v>286</v>
      </c>
      <c r="AR20" s="150"/>
      <c r="AS20" s="75">
        <f t="shared" si="11"/>
        <v>18</v>
      </c>
      <c r="AT20" s="54">
        <v>22.9</v>
      </c>
      <c r="AU20" s="55">
        <v>157</v>
      </c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15.3</v>
      </c>
      <c r="G21" s="55">
        <v>160</v>
      </c>
      <c r="H21" s="150">
        <v>2.7777777777777776E-2</v>
      </c>
      <c r="I21" s="75">
        <f t="shared" si="2"/>
        <v>19</v>
      </c>
      <c r="J21" s="54">
        <v>30.5</v>
      </c>
      <c r="K21" s="55">
        <v>310</v>
      </c>
      <c r="L21" s="150"/>
      <c r="M21" s="75">
        <f t="shared" si="3"/>
        <v>19</v>
      </c>
      <c r="N21" s="54">
        <v>11.84</v>
      </c>
      <c r="O21" s="55">
        <v>80</v>
      </c>
      <c r="P21" s="150"/>
      <c r="Q21" s="75">
        <f t="shared" si="4"/>
        <v>19</v>
      </c>
      <c r="R21" s="54"/>
      <c r="S21" s="55"/>
      <c r="T21" s="150"/>
      <c r="U21" s="75">
        <f t="shared" si="5"/>
        <v>19</v>
      </c>
      <c r="V21" s="54"/>
      <c r="W21" s="55"/>
      <c r="X21" s="150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50"/>
      <c r="AC21" s="75">
        <f t="shared" si="7"/>
        <v>19</v>
      </c>
      <c r="AD21" s="54"/>
      <c r="AE21" s="55"/>
      <c r="AF21" s="150"/>
      <c r="AG21" s="75">
        <f t="shared" si="8"/>
        <v>19</v>
      </c>
      <c r="AH21" s="54">
        <v>12</v>
      </c>
      <c r="AI21" s="55">
        <v>2</v>
      </c>
      <c r="AJ21" s="150"/>
      <c r="AK21" s="75">
        <f t="shared" si="9"/>
        <v>19</v>
      </c>
      <c r="AL21" s="54"/>
      <c r="AM21" s="55"/>
      <c r="AN21" s="150"/>
      <c r="AO21" s="75">
        <f t="shared" si="10"/>
        <v>19</v>
      </c>
      <c r="AP21" s="54">
        <v>32.900000000000006</v>
      </c>
      <c r="AQ21" s="55">
        <v>180</v>
      </c>
      <c r="AR21" s="150"/>
      <c r="AS21" s="75">
        <f t="shared" si="11"/>
        <v>19</v>
      </c>
      <c r="AT21" s="54">
        <v>9.1999999999999993</v>
      </c>
      <c r="AU21" s="55">
        <v>80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/>
      <c r="G22" s="55"/>
      <c r="H22" s="150"/>
      <c r="I22" s="75">
        <f t="shared" si="2"/>
        <v>20</v>
      </c>
      <c r="J22" s="54">
        <v>45.94</v>
      </c>
      <c r="K22" s="55">
        <v>508</v>
      </c>
      <c r="L22" s="150"/>
      <c r="M22" s="75">
        <f t="shared" si="3"/>
        <v>20</v>
      </c>
      <c r="N22" s="54">
        <v>30.05</v>
      </c>
      <c r="O22" s="55">
        <v>190</v>
      </c>
      <c r="P22" s="150"/>
      <c r="Q22" s="75">
        <f t="shared" si="4"/>
        <v>20</v>
      </c>
      <c r="R22" s="54">
        <v>24.4</v>
      </c>
      <c r="S22" s="55">
        <v>530</v>
      </c>
      <c r="T22" s="150"/>
      <c r="U22" s="75">
        <f t="shared" si="5"/>
        <v>20</v>
      </c>
      <c r="V22" s="54">
        <v>10.56</v>
      </c>
      <c r="W22" s="55">
        <v>70</v>
      </c>
      <c r="X22" s="150"/>
      <c r="Y22" s="75">
        <f t="shared" si="6"/>
        <v>20</v>
      </c>
      <c r="Z22" s="54"/>
      <c r="AA22" s="55"/>
      <c r="AB22" s="150"/>
      <c r="AC22" s="75">
        <f t="shared" si="7"/>
        <v>20</v>
      </c>
      <c r="AD22" s="54">
        <v>89.34</v>
      </c>
      <c r="AE22" s="55">
        <v>1220</v>
      </c>
      <c r="AF22" s="150"/>
      <c r="AG22" s="75">
        <f t="shared" si="8"/>
        <v>20</v>
      </c>
      <c r="AH22" s="54">
        <v>12.84</v>
      </c>
      <c r="AI22" s="55">
        <v>286</v>
      </c>
      <c r="AJ22" s="150"/>
      <c r="AK22" s="75">
        <f t="shared" si="9"/>
        <v>20</v>
      </c>
      <c r="AL22" s="54">
        <v>18.060000000000002</v>
      </c>
      <c r="AM22" s="55">
        <v>48</v>
      </c>
      <c r="AN22" s="150"/>
      <c r="AO22" s="75">
        <f t="shared" si="10"/>
        <v>20</v>
      </c>
      <c r="AP22" s="54">
        <v>15</v>
      </c>
      <c r="AQ22" s="55">
        <v>10</v>
      </c>
      <c r="AR22" s="150"/>
      <c r="AS22" s="75">
        <f t="shared" si="11"/>
        <v>20</v>
      </c>
      <c r="AT22" s="54"/>
      <c r="AU22" s="55"/>
      <c r="AV22" s="150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>
        <v>10</v>
      </c>
      <c r="G23" s="55">
        <v>2</v>
      </c>
      <c r="H23" s="150"/>
      <c r="I23" s="75">
        <f t="shared" si="2"/>
        <v>21</v>
      </c>
      <c r="J23" s="54">
        <v>18.739999999999998</v>
      </c>
      <c r="K23" s="55">
        <v>91</v>
      </c>
      <c r="L23" s="150"/>
      <c r="M23" s="75">
        <f t="shared" si="3"/>
        <v>21</v>
      </c>
      <c r="N23" s="54">
        <v>10</v>
      </c>
      <c r="O23" s="55">
        <v>80</v>
      </c>
      <c r="P23" s="150"/>
      <c r="Q23" s="75">
        <f t="shared" si="4"/>
        <v>21</v>
      </c>
      <c r="R23" s="54">
        <v>51.67</v>
      </c>
      <c r="S23" s="55">
        <v>1105</v>
      </c>
      <c r="T23" s="150"/>
      <c r="U23" s="75">
        <f t="shared" si="5"/>
        <v>21</v>
      </c>
      <c r="V23" s="54">
        <v>14.45</v>
      </c>
      <c r="W23" s="55">
        <v>140</v>
      </c>
      <c r="X23" s="150"/>
      <c r="Y23" s="75">
        <f t="shared" si="6"/>
        <v>21</v>
      </c>
      <c r="Z23" s="54"/>
      <c r="AA23" s="55"/>
      <c r="AB23" s="150">
        <v>2.0833333333333332E-2</v>
      </c>
      <c r="AC23" s="75">
        <f t="shared" si="7"/>
        <v>21</v>
      </c>
      <c r="AD23" s="54">
        <v>37.56</v>
      </c>
      <c r="AE23" s="55">
        <v>370</v>
      </c>
      <c r="AF23" s="150"/>
      <c r="AG23" s="75">
        <f t="shared" si="8"/>
        <v>21</v>
      </c>
      <c r="AH23" s="54">
        <v>17.66</v>
      </c>
      <c r="AI23" s="55">
        <v>419</v>
      </c>
      <c r="AJ23" s="150"/>
      <c r="AK23" s="75">
        <f t="shared" si="9"/>
        <v>21</v>
      </c>
      <c r="AL23" s="54">
        <v>15.3</v>
      </c>
      <c r="AM23" s="55">
        <v>220</v>
      </c>
      <c r="AN23" s="150"/>
      <c r="AO23" s="75">
        <f t="shared" si="10"/>
        <v>21</v>
      </c>
      <c r="AP23" s="54">
        <v>10.3</v>
      </c>
      <c r="AQ23" s="55">
        <v>60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31.9</v>
      </c>
      <c r="C24" s="55">
        <v>210</v>
      </c>
      <c r="D24" s="150"/>
      <c r="E24" s="75">
        <f t="shared" si="1"/>
        <v>22</v>
      </c>
      <c r="F24" s="54">
        <v>20.56</v>
      </c>
      <c r="G24" s="55">
        <v>70</v>
      </c>
      <c r="H24" s="150"/>
      <c r="I24" s="75">
        <f t="shared" si="2"/>
        <v>22</v>
      </c>
      <c r="J24" s="54">
        <v>11</v>
      </c>
      <c r="K24" s="55">
        <v>20</v>
      </c>
      <c r="L24" s="150"/>
      <c r="M24" s="75">
        <f t="shared" si="3"/>
        <v>22</v>
      </c>
      <c r="N24" s="54">
        <v>90.44</v>
      </c>
      <c r="O24" s="55">
        <v>989</v>
      </c>
      <c r="P24" s="150"/>
      <c r="Q24" s="75">
        <f t="shared" si="4"/>
        <v>22</v>
      </c>
      <c r="R24" s="54">
        <v>60.2</v>
      </c>
      <c r="S24" s="49">
        <v>696</v>
      </c>
      <c r="T24" s="150"/>
      <c r="U24" s="75">
        <f t="shared" si="5"/>
        <v>22</v>
      </c>
      <c r="V24" s="54">
        <v>55.66</v>
      </c>
      <c r="W24" s="55">
        <v>670</v>
      </c>
      <c r="X24" s="150"/>
      <c r="Y24" s="75">
        <f t="shared" si="6"/>
        <v>22</v>
      </c>
      <c r="Z24" s="54">
        <v>16.850000000000001</v>
      </c>
      <c r="AA24" s="55">
        <v>536</v>
      </c>
      <c r="AB24" s="150"/>
      <c r="AC24" s="75">
        <f t="shared" si="7"/>
        <v>22</v>
      </c>
      <c r="AD24" s="54">
        <v>28.2</v>
      </c>
      <c r="AE24" s="55">
        <v>400</v>
      </c>
      <c r="AF24" s="150"/>
      <c r="AG24" s="75">
        <f t="shared" si="8"/>
        <v>22</v>
      </c>
      <c r="AH24" s="54">
        <v>10</v>
      </c>
      <c r="AI24" s="55">
        <v>13</v>
      </c>
      <c r="AJ24" s="150"/>
      <c r="AK24" s="75">
        <f t="shared" si="9"/>
        <v>22</v>
      </c>
      <c r="AL24" s="54">
        <v>48.48</v>
      </c>
      <c r="AM24" s="55">
        <v>510</v>
      </c>
      <c r="AN24" s="150"/>
      <c r="AO24" s="75">
        <f t="shared" si="10"/>
        <v>22</v>
      </c>
      <c r="AP24" s="54">
        <v>10.6</v>
      </c>
      <c r="AQ24" s="55">
        <v>40</v>
      </c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>
        <v>4.1666666666666664E-2</v>
      </c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17</v>
      </c>
      <c r="K25" s="55">
        <v>26</v>
      </c>
      <c r="L25" s="150"/>
      <c r="M25" s="75">
        <f t="shared" si="3"/>
        <v>23</v>
      </c>
      <c r="N25" s="54">
        <v>62.42</v>
      </c>
      <c r="O25" s="55">
        <v>816</v>
      </c>
      <c r="P25" s="150"/>
      <c r="Q25" s="75">
        <f t="shared" si="4"/>
        <v>23</v>
      </c>
      <c r="R25" s="54">
        <v>11</v>
      </c>
      <c r="S25" s="55">
        <v>20</v>
      </c>
      <c r="T25" s="150"/>
      <c r="U25" s="75">
        <f t="shared" si="5"/>
        <v>23</v>
      </c>
      <c r="V25" s="54">
        <v>47.7</v>
      </c>
      <c r="W25" s="55">
        <v>582</v>
      </c>
      <c r="X25" s="150"/>
      <c r="Y25" s="75">
        <f t="shared" si="6"/>
        <v>23</v>
      </c>
      <c r="Z25" s="54">
        <v>62.42</v>
      </c>
      <c r="AA25" s="55">
        <v>843</v>
      </c>
      <c r="AB25" s="150"/>
      <c r="AC25" s="75">
        <f t="shared" si="7"/>
        <v>23</v>
      </c>
      <c r="AD25" s="54">
        <v>12.61</v>
      </c>
      <c r="AE25" s="55">
        <v>320</v>
      </c>
      <c r="AF25" s="150"/>
      <c r="AG25" s="75">
        <f t="shared" si="8"/>
        <v>23</v>
      </c>
      <c r="AH25" s="54">
        <v>19.649999999999999</v>
      </c>
      <c r="AI25" s="55">
        <v>281</v>
      </c>
      <c r="AJ25" s="150"/>
      <c r="AK25" s="75">
        <f t="shared" si="9"/>
        <v>23</v>
      </c>
      <c r="AL25" s="54">
        <v>40.06</v>
      </c>
      <c r="AM25" s="55">
        <v>152</v>
      </c>
      <c r="AN25" s="150"/>
      <c r="AO25" s="75">
        <f t="shared" si="10"/>
        <v>23</v>
      </c>
      <c r="AP25" s="54">
        <v>10.6</v>
      </c>
      <c r="AQ25" s="55">
        <v>40</v>
      </c>
      <c r="AR25" s="150"/>
      <c r="AS25" s="75">
        <f t="shared" si="11"/>
        <v>23</v>
      </c>
      <c r="AT25" s="54">
        <v>16</v>
      </c>
      <c r="AU25" s="55">
        <v>182</v>
      </c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/>
      <c r="E26" s="75">
        <f t="shared" si="1"/>
        <v>24</v>
      </c>
      <c r="F26" s="54">
        <v>20.74</v>
      </c>
      <c r="G26" s="55">
        <v>15</v>
      </c>
      <c r="H26" s="150"/>
      <c r="I26" s="75">
        <f t="shared" si="2"/>
        <v>24</v>
      </c>
      <c r="J26" s="54">
        <v>20.05</v>
      </c>
      <c r="K26" s="55">
        <v>55</v>
      </c>
      <c r="L26" s="150"/>
      <c r="M26" s="75">
        <f t="shared" si="3"/>
        <v>24</v>
      </c>
      <c r="N26" s="54">
        <v>80.13</v>
      </c>
      <c r="O26" s="55">
        <v>55</v>
      </c>
      <c r="P26" s="150"/>
      <c r="Q26" s="75">
        <f t="shared" si="4"/>
        <v>24</v>
      </c>
      <c r="R26" s="54">
        <v>11</v>
      </c>
      <c r="S26" s="55">
        <v>20</v>
      </c>
      <c r="T26" s="150"/>
      <c r="U26" s="75">
        <f t="shared" si="5"/>
        <v>24</v>
      </c>
      <c r="V26" s="54">
        <v>35.67</v>
      </c>
      <c r="W26" s="55">
        <v>244</v>
      </c>
      <c r="X26" s="150"/>
      <c r="Y26" s="75">
        <f t="shared" si="6"/>
        <v>24</v>
      </c>
      <c r="Z26" s="54">
        <v>14.45</v>
      </c>
      <c r="AA26" s="55">
        <v>140</v>
      </c>
      <c r="AB26" s="150"/>
      <c r="AC26" s="75">
        <f t="shared" si="7"/>
        <v>24</v>
      </c>
      <c r="AD26" s="54">
        <v>17</v>
      </c>
      <c r="AE26" s="55">
        <v>370</v>
      </c>
      <c r="AF26" s="150"/>
      <c r="AG26" s="75">
        <f t="shared" si="8"/>
        <v>24</v>
      </c>
      <c r="AH26" s="54">
        <v>85</v>
      </c>
      <c r="AI26" s="55">
        <v>2200</v>
      </c>
      <c r="AJ26" s="150"/>
      <c r="AK26" s="75">
        <f t="shared" si="9"/>
        <v>24</v>
      </c>
      <c r="AL26" s="54">
        <v>19.649999999999999</v>
      </c>
      <c r="AM26" s="55">
        <v>281</v>
      </c>
      <c r="AN26" s="150"/>
      <c r="AO26" s="75">
        <f t="shared" si="10"/>
        <v>24</v>
      </c>
      <c r="AP26" s="54">
        <v>13.55</v>
      </c>
      <c r="AQ26" s="55">
        <v>55</v>
      </c>
      <c r="AR26" s="150"/>
      <c r="AS26" s="75">
        <f t="shared" si="11"/>
        <v>24</v>
      </c>
      <c r="AT26" s="54">
        <v>12.84</v>
      </c>
      <c r="AU26" s="55">
        <v>286</v>
      </c>
      <c r="AV26" s="150"/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>
        <v>29.55</v>
      </c>
      <c r="G27" s="55">
        <v>190</v>
      </c>
      <c r="H27" s="150"/>
      <c r="I27" s="75">
        <f t="shared" si="2"/>
        <v>25</v>
      </c>
      <c r="J27" s="54">
        <v>14.45</v>
      </c>
      <c r="K27" s="55">
        <v>140</v>
      </c>
      <c r="L27" s="150"/>
      <c r="M27" s="75">
        <f t="shared" si="3"/>
        <v>25</v>
      </c>
      <c r="N27" s="54">
        <v>62.33</v>
      </c>
      <c r="O27" s="55">
        <v>620</v>
      </c>
      <c r="P27" s="150"/>
      <c r="Q27" s="75">
        <f t="shared" si="4"/>
        <v>25</v>
      </c>
      <c r="R27" s="54">
        <v>10.56</v>
      </c>
      <c r="S27" s="55">
        <v>70</v>
      </c>
      <c r="T27" s="150"/>
      <c r="U27" s="75">
        <f t="shared" si="5"/>
        <v>25</v>
      </c>
      <c r="V27" s="54">
        <v>17.2</v>
      </c>
      <c r="W27" s="55">
        <v>417</v>
      </c>
      <c r="X27" s="150"/>
      <c r="Y27" s="75">
        <f t="shared" si="6"/>
        <v>25</v>
      </c>
      <c r="Z27" s="54">
        <v>20.56</v>
      </c>
      <c r="AA27" s="55">
        <v>90</v>
      </c>
      <c r="AB27" s="150"/>
      <c r="AC27" s="75">
        <f t="shared" si="7"/>
        <v>25</v>
      </c>
      <c r="AD27" s="54">
        <v>13.65</v>
      </c>
      <c r="AE27" s="55">
        <v>54</v>
      </c>
      <c r="AF27" s="150"/>
      <c r="AG27" s="75">
        <f t="shared" si="8"/>
        <v>25</v>
      </c>
      <c r="AH27" s="54">
        <v>28.72</v>
      </c>
      <c r="AI27" s="55">
        <v>185</v>
      </c>
      <c r="AJ27" s="150"/>
      <c r="AK27" s="75">
        <f t="shared" si="9"/>
        <v>25</v>
      </c>
      <c r="AL27" s="54"/>
      <c r="AM27" s="55"/>
      <c r="AN27" s="150"/>
      <c r="AO27" s="75">
        <f t="shared" si="10"/>
        <v>25</v>
      </c>
      <c r="AP27" s="54"/>
      <c r="AQ27" s="55"/>
      <c r="AR27" s="150"/>
      <c r="AS27" s="75">
        <f t="shared" si="11"/>
        <v>25</v>
      </c>
      <c r="AT27" s="54">
        <v>11.2</v>
      </c>
      <c r="AU27" s="55">
        <v>37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65.12</v>
      </c>
      <c r="G28" s="55">
        <v>591</v>
      </c>
      <c r="H28" s="150"/>
      <c r="I28" s="75">
        <f t="shared" si="2"/>
        <v>26</v>
      </c>
      <c r="J28" s="54">
        <v>21.2</v>
      </c>
      <c r="K28" s="55">
        <v>30</v>
      </c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/>
      <c r="S28" s="55"/>
      <c r="T28" s="150"/>
      <c r="U28" s="75">
        <f t="shared" si="5"/>
        <v>26</v>
      </c>
      <c r="V28" s="54">
        <v>35.25</v>
      </c>
      <c r="W28" s="55">
        <v>234</v>
      </c>
      <c r="X28" s="150"/>
      <c r="Y28" s="75">
        <f t="shared" si="6"/>
        <v>26</v>
      </c>
      <c r="Z28" s="54">
        <v>19.5</v>
      </c>
      <c r="AA28" s="55">
        <v>110</v>
      </c>
      <c r="AB28" s="150"/>
      <c r="AC28" s="75">
        <f t="shared" si="7"/>
        <v>26</v>
      </c>
      <c r="AD28" s="54">
        <v>13.6</v>
      </c>
      <c r="AE28" s="55">
        <v>10</v>
      </c>
      <c r="AF28" s="150"/>
      <c r="AG28" s="75">
        <f t="shared" si="8"/>
        <v>26</v>
      </c>
      <c r="AH28" s="54">
        <v>17.66</v>
      </c>
      <c r="AI28" s="55">
        <v>419</v>
      </c>
      <c r="AJ28" s="150"/>
      <c r="AK28" s="75">
        <f t="shared" si="9"/>
        <v>26</v>
      </c>
      <c r="AL28" s="54">
        <v>10.3</v>
      </c>
      <c r="AM28" s="55">
        <v>60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>
        <v>29.6</v>
      </c>
      <c r="AU28" s="55">
        <v>320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</v>
      </c>
      <c r="C29" s="55">
        <v>2</v>
      </c>
      <c r="D29" s="150"/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39</v>
      </c>
      <c r="K29" s="55">
        <v>190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>
        <v>10</v>
      </c>
      <c r="S29" s="55">
        <v>20</v>
      </c>
      <c r="T29" s="150"/>
      <c r="U29" s="75">
        <f t="shared" si="5"/>
        <v>27</v>
      </c>
      <c r="V29" s="54">
        <v>57.6</v>
      </c>
      <c r="W29" s="55">
        <v>1033</v>
      </c>
      <c r="X29" s="150"/>
      <c r="Y29" s="75">
        <f t="shared" si="6"/>
        <v>27</v>
      </c>
      <c r="Z29" s="54">
        <v>10.1</v>
      </c>
      <c r="AA29" s="55">
        <v>306</v>
      </c>
      <c r="AB29" s="150"/>
      <c r="AC29" s="75">
        <f t="shared" si="7"/>
        <v>27</v>
      </c>
      <c r="AD29" s="54">
        <v>15.2</v>
      </c>
      <c r="AE29" s="55">
        <v>50</v>
      </c>
      <c r="AF29" s="150"/>
      <c r="AG29" s="75">
        <f t="shared" si="8"/>
        <v>27</v>
      </c>
      <c r="AH29" s="54">
        <v>19.420000000000002</v>
      </c>
      <c r="AI29" s="55">
        <v>191</v>
      </c>
      <c r="AJ29" s="150"/>
      <c r="AK29" s="75">
        <f t="shared" si="9"/>
        <v>27</v>
      </c>
      <c r="AL29" s="54">
        <v>10.3</v>
      </c>
      <c r="AM29" s="55">
        <v>60</v>
      </c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>
        <v>11.35</v>
      </c>
      <c r="AU29" s="55">
        <v>120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11.2</v>
      </c>
      <c r="C30" s="55">
        <v>11</v>
      </c>
      <c r="D30" s="150"/>
      <c r="E30" s="75">
        <f t="shared" si="1"/>
        <v>28</v>
      </c>
      <c r="F30" s="54">
        <v>16</v>
      </c>
      <c r="G30" s="55">
        <v>65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15.87</v>
      </c>
      <c r="O30" s="55">
        <v>85</v>
      </c>
      <c r="P30" s="150"/>
      <c r="Q30" s="75">
        <f t="shared" si="4"/>
        <v>28</v>
      </c>
      <c r="R30" s="54">
        <v>25.96</v>
      </c>
      <c r="S30" s="55">
        <v>100</v>
      </c>
      <c r="T30" s="150"/>
      <c r="U30" s="75">
        <f t="shared" si="5"/>
        <v>28</v>
      </c>
      <c r="V30" s="54">
        <v>42.6</v>
      </c>
      <c r="W30" s="55">
        <v>437</v>
      </c>
      <c r="X30" s="150"/>
      <c r="Y30" s="75">
        <f t="shared" si="6"/>
        <v>28</v>
      </c>
      <c r="Z30" s="54">
        <v>12.71</v>
      </c>
      <c r="AA30" s="55">
        <v>268</v>
      </c>
      <c r="AB30" s="150"/>
      <c r="AC30" s="75">
        <f t="shared" si="7"/>
        <v>28</v>
      </c>
      <c r="AD30" s="54">
        <v>52.39</v>
      </c>
      <c r="AE30" s="55">
        <v>735</v>
      </c>
      <c r="AF30" s="150"/>
      <c r="AG30" s="75">
        <f t="shared" si="8"/>
        <v>28</v>
      </c>
      <c r="AH30" s="54">
        <v>14.27</v>
      </c>
      <c r="AI30" s="55">
        <v>45</v>
      </c>
      <c r="AJ30" s="150"/>
      <c r="AK30" s="75">
        <f t="shared" si="9"/>
        <v>28</v>
      </c>
      <c r="AL30" s="54">
        <v>14.4</v>
      </c>
      <c r="AM30" s="55">
        <v>200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>
        <v>11.5</v>
      </c>
      <c r="AU30" s="55">
        <v>130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30.03</v>
      </c>
      <c r="C31" s="55">
        <v>10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>
        <v>4.3055555555555562E-2</v>
      </c>
      <c r="M31" s="75">
        <f t="shared" si="3"/>
        <v>29</v>
      </c>
      <c r="N31" s="54"/>
      <c r="O31" s="55"/>
      <c r="P31" s="150">
        <v>2.0833333333333332E-2</v>
      </c>
      <c r="Q31" s="75">
        <f t="shared" si="4"/>
        <v>29</v>
      </c>
      <c r="R31" s="54">
        <v>96.42</v>
      </c>
      <c r="S31" s="55">
        <v>1385</v>
      </c>
      <c r="T31" s="150"/>
      <c r="U31" s="75">
        <f t="shared" si="5"/>
        <v>29</v>
      </c>
      <c r="V31" s="54">
        <v>42.48</v>
      </c>
      <c r="W31" s="55">
        <v>460</v>
      </c>
      <c r="X31" s="150"/>
      <c r="Y31" s="75">
        <f t="shared" si="6"/>
        <v>29</v>
      </c>
      <c r="Z31" s="54">
        <v>30.3</v>
      </c>
      <c r="AA31" s="55">
        <v>360</v>
      </c>
      <c r="AB31" s="150"/>
      <c r="AC31" s="75">
        <f t="shared" si="7"/>
        <v>29</v>
      </c>
      <c r="AD31" s="54">
        <v>12.7</v>
      </c>
      <c r="AE31" s="55">
        <v>295</v>
      </c>
      <c r="AF31" s="150"/>
      <c r="AG31" s="75">
        <f t="shared" si="8"/>
        <v>29</v>
      </c>
      <c r="AH31" s="54">
        <v>28.33</v>
      </c>
      <c r="AI31" s="55">
        <v>210</v>
      </c>
      <c r="AJ31" s="150"/>
      <c r="AK31" s="75">
        <f t="shared" si="9"/>
        <v>29</v>
      </c>
      <c r="AL31" s="54">
        <v>10.6</v>
      </c>
      <c r="AM31" s="55">
        <v>310</v>
      </c>
      <c r="AN31" s="150"/>
      <c r="AO31" s="75">
        <f t="shared" si="10"/>
        <v>29</v>
      </c>
      <c r="AP31" s="54">
        <v>12</v>
      </c>
      <c r="AQ31" s="55">
        <v>8</v>
      </c>
      <c r="AR31" s="150"/>
      <c r="AS31" s="75">
        <f t="shared" si="11"/>
        <v>29</v>
      </c>
      <c r="AT31" s="54">
        <v>19.399999999999999</v>
      </c>
      <c r="AU31" s="55">
        <v>200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17.29</v>
      </c>
      <c r="C32" s="55">
        <v>60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41.97</v>
      </c>
      <c r="O32" s="55">
        <v>774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39.08</v>
      </c>
      <c r="W32" s="55">
        <v>500</v>
      </c>
      <c r="X32" s="150"/>
      <c r="Y32" s="75">
        <f t="shared" si="6"/>
        <v>30</v>
      </c>
      <c r="Z32" s="54">
        <v>41.5</v>
      </c>
      <c r="AA32" s="55">
        <v>201</v>
      </c>
      <c r="AB32" s="150"/>
      <c r="AC32" s="75">
        <f t="shared" si="7"/>
        <v>30</v>
      </c>
      <c r="AD32" s="54">
        <v>12.7</v>
      </c>
      <c r="AE32" s="55">
        <v>295</v>
      </c>
      <c r="AF32" s="150"/>
      <c r="AG32" s="75">
        <f t="shared" si="8"/>
        <v>30</v>
      </c>
      <c r="AH32" s="54">
        <v>25.49</v>
      </c>
      <c r="AI32" s="55">
        <v>440</v>
      </c>
      <c r="AJ32" s="150"/>
      <c r="AK32" s="75">
        <f t="shared" si="9"/>
        <v>30</v>
      </c>
      <c r="AL32" s="54">
        <v>12.6</v>
      </c>
      <c r="AM32" s="55">
        <v>315</v>
      </c>
      <c r="AN32" s="150">
        <v>8.3333333333333329E-2</v>
      </c>
      <c r="AO32" s="75">
        <f t="shared" si="10"/>
        <v>30</v>
      </c>
      <c r="AP32" s="54">
        <v>13.3</v>
      </c>
      <c r="AQ32" s="55">
        <v>62</v>
      </c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>
        <v>10.199999999999999</v>
      </c>
      <c r="C33" s="63">
        <v>16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>
        <v>2.7777777777777776E-2</v>
      </c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27.7</v>
      </c>
      <c r="AA33" s="63">
        <v>138</v>
      </c>
      <c r="AB33" s="151"/>
      <c r="AC33" s="76">
        <f t="shared" si="7"/>
        <v>31</v>
      </c>
      <c r="AD33" s="62">
        <v>17.559999999999999</v>
      </c>
      <c r="AE33" s="63">
        <v>394</v>
      </c>
      <c r="AF33" s="151"/>
      <c r="AG33" s="76"/>
      <c r="AH33" s="62"/>
      <c r="AI33" s="63"/>
      <c r="AJ33" s="151"/>
      <c r="AK33" s="76">
        <f t="shared" si="9"/>
        <v>31</v>
      </c>
      <c r="AL33" s="62">
        <v>14.6</v>
      </c>
      <c r="AM33" s="63">
        <v>320</v>
      </c>
      <c r="AN33" s="151"/>
      <c r="AO33" s="76"/>
      <c r="AP33" s="62"/>
      <c r="AQ33" s="63"/>
      <c r="AR33" s="151"/>
      <c r="AS33" s="76">
        <f t="shared" si="11"/>
        <v>31</v>
      </c>
      <c r="AT33" s="62"/>
      <c r="AU33" s="63"/>
      <c r="AV33" s="151"/>
      <c r="AW33" s="67"/>
    </row>
    <row r="34" spans="1:49" s="49" customFormat="1" ht="11.25" x14ac:dyDescent="0.2">
      <c r="A34" s="45" t="s">
        <v>92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1.25" x14ac:dyDescent="0.2">
      <c r="A35" s="46" t="s">
        <v>93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1.25" x14ac:dyDescent="0.2">
      <c r="A36" s="49" t="s">
        <v>149</v>
      </c>
      <c r="B36" s="54">
        <f>MAX(B3:B33)</f>
        <v>34.4</v>
      </c>
      <c r="C36" s="55">
        <f>MAX(C3:C33)</f>
        <v>600</v>
      </c>
      <c r="D36" s="152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52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52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52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52">
        <f>MAX(T3:T33)</f>
        <v>0</v>
      </c>
      <c r="U36" s="67"/>
      <c r="V36" s="54">
        <f>MAX(V3:V33)</f>
        <v>124</v>
      </c>
      <c r="W36" s="314">
        <f>MAX(W3:W33)</f>
        <v>1910</v>
      </c>
      <c r="X36" s="152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52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52">
        <f>MAX(AF3:AF33)</f>
        <v>0</v>
      </c>
      <c r="AG36" s="67"/>
      <c r="AH36" s="54">
        <f>MAX(AH3:AH33)</f>
        <v>85</v>
      </c>
      <c r="AI36" s="314">
        <f>MAX(AI3:AI33)</f>
        <v>2200</v>
      </c>
      <c r="AJ36" s="152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52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52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52">
        <f>MAX(AV3:AV33)</f>
        <v>9.375E-2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17.214999999999996</v>
      </c>
      <c r="C37" s="55">
        <f>IFERROR(AVERAGE(C3:C33),0)</f>
        <v>128.5</v>
      </c>
      <c r="D37" s="152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52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52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52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52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52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52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52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52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52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52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52">
        <f>IFERROR(AVERAGE(AV3:AV33),0)</f>
        <v>5.2083333333333336E-2</v>
      </c>
      <c r="AW37" s="67"/>
    </row>
    <row r="38" spans="1:49" s="49" customFormat="1" ht="11.25" x14ac:dyDescent="0.2">
      <c r="A38" s="49" t="s">
        <v>236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980.13</v>
      </c>
      <c r="K39" s="51">
        <f t="shared" ref="K39:L39" si="12">SUM(C34,G34,K34)</f>
        <v>8008</v>
      </c>
      <c r="L39" s="170">
        <f t="shared" si="12"/>
        <v>198.8</v>
      </c>
      <c r="M39" s="168"/>
      <c r="P39" s="169"/>
      <c r="Q39" s="168"/>
      <c r="T39" s="169"/>
      <c r="U39" s="168"/>
      <c r="V39" s="50">
        <f>SUM(N34,R34,V34)</f>
        <v>2381.3900000000003</v>
      </c>
      <c r="W39" s="51">
        <f>SUM(O34,S34,W34)</f>
        <v>27747</v>
      </c>
      <c r="X39" s="170">
        <f>SUM(P34,T34,X34)</f>
        <v>24</v>
      </c>
      <c r="Y39" s="168"/>
      <c r="AB39" s="169"/>
      <c r="AC39" s="168"/>
      <c r="AF39" s="169"/>
      <c r="AG39" s="168"/>
      <c r="AH39" s="50">
        <f>SUM(Z34,AD34,AH34)</f>
        <v>1899.3400000000001</v>
      </c>
      <c r="AI39" s="51">
        <f>SUM(AA34,AE34,AI34)</f>
        <v>23764</v>
      </c>
      <c r="AJ39" s="170">
        <f>SUM(AB34,AF34,AJ34)</f>
        <v>12</v>
      </c>
      <c r="AK39" s="168"/>
      <c r="AN39" s="169"/>
      <c r="AO39" s="168"/>
      <c r="AR39" s="169"/>
      <c r="AS39" s="168"/>
      <c r="AT39" s="50">
        <f>SUM(AL34,AP34,AT34)</f>
        <v>1406.12</v>
      </c>
      <c r="AU39" s="51">
        <f>SUM(AM34,AQ34,AU34)</f>
        <v>12495</v>
      </c>
      <c r="AV39" s="170">
        <f>SUM(AN34,AR34,AV34)</f>
        <v>150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52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52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52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52">
        <f>IFERROR(AVERAGE(AN37,AR37,AV37),0)</f>
        <v>3.4722222222222217E-2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24.566448971731607</v>
      </c>
      <c r="C42" s="87">
        <f>AB1</f>
        <v>261.88691068899544</v>
      </c>
      <c r="D42" s="88"/>
      <c r="E42" s="176" t="s">
        <v>399</v>
      </c>
      <c r="F42" s="177">
        <f>SUM(J23:J33,N3:N33,R3:R33,V3:V33,Z3:Z33,AD3:AD33,AH3:AH23)</f>
        <v>4173.6299999999983</v>
      </c>
      <c r="G42" s="178">
        <f>SUM(K23:K33,O3:O32,S3:S33,W3:W32,AA3:AA33,AE3:AE33,AI3:AI23)</f>
        <v>48079</v>
      </c>
      <c r="H42" s="179"/>
      <c r="I42" s="179"/>
      <c r="J42" s="180">
        <f>IFERROR(F42/(F42+F43),0)</f>
        <v>0.62601507729136696</v>
      </c>
      <c r="K42" s="180">
        <f>IFERROR(G42/(G42+G43),0)</f>
        <v>0.66763407115283135</v>
      </c>
      <c r="L42" s="179"/>
      <c r="M42" s="259" t="s">
        <v>600</v>
      </c>
      <c r="N42" s="257">
        <v>23</v>
      </c>
      <c r="Y42" s="144"/>
      <c r="AK42" s="211" t="s">
        <v>478</v>
      </c>
      <c r="AL42" s="47">
        <f>MAX(B34,F34,J34,N34,R34,V34,Z34,AD34,AH34,AL34,AP34,AT34)</f>
        <v>902.05000000000018</v>
      </c>
      <c r="AM42" s="212">
        <f>MAX(C34,G34,K34,O34,S34,W34,AA34,AE34,AI34,AM34,AQ34,AU34)</f>
        <v>12610</v>
      </c>
      <c r="AN42" s="49" t="s">
        <v>346</v>
      </c>
      <c r="AO42" s="210" t="s">
        <v>344</v>
      </c>
      <c r="AP42" s="54">
        <f>R1-'10'!R1</f>
        <v>207.75999999999996</v>
      </c>
      <c r="AQ42" s="78">
        <f>AF1-'10'!AF1</f>
        <v>1681</v>
      </c>
      <c r="AR42" s="49" t="s">
        <v>345</v>
      </c>
      <c r="AS42" s="209" t="s">
        <v>344</v>
      </c>
      <c r="AT42" s="54">
        <f>I1-'10'!I1</f>
        <v>-1.3100000000000023</v>
      </c>
      <c r="AU42" s="78">
        <f>AN1-'10'!AN1</f>
        <v>30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18.265698630136988</v>
      </c>
      <c r="C43" s="87">
        <f>AU1/365</f>
        <v>197.2986301369863</v>
      </c>
      <c r="D43" s="88"/>
      <c r="E43" s="172" t="s">
        <v>400</v>
      </c>
      <c r="F43" s="173">
        <f>E1-F42</f>
        <v>2493.3500000000022</v>
      </c>
      <c r="G43" s="174">
        <f>AU1-G42</f>
        <v>23935</v>
      </c>
      <c r="H43" s="175"/>
      <c r="I43" s="175"/>
      <c r="J43" s="181">
        <f>IFERROR(F43/(F42+F43),0)</f>
        <v>0.37398492270863298</v>
      </c>
      <c r="K43" s="181">
        <f>IFERROR(G43/(G42+G43),0)</f>
        <v>0.33236592884716859</v>
      </c>
      <c r="L43" s="175"/>
      <c r="M43" s="65" t="s">
        <v>601</v>
      </c>
      <c r="N43" s="258">
        <v>9</v>
      </c>
      <c r="Y43" s="67"/>
      <c r="AK43" s="213" t="s">
        <v>481</v>
      </c>
      <c r="AL43" s="188">
        <f>IF($B$1&lt;&gt;0,$AV$35/$B1,0)</f>
        <v>5.4567782886023097E-2</v>
      </c>
      <c r="AO43" s="209" t="s">
        <v>344</v>
      </c>
      <c r="AP43" s="54">
        <f>AV35-'10'!AV35</f>
        <v>-536</v>
      </c>
      <c r="AQ43" s="188">
        <f>AL43-'10'!AL43</f>
        <v>-0.11662504516074629</v>
      </c>
      <c r="AR43" s="49" t="s">
        <v>204</v>
      </c>
      <c r="AS43" s="209" t="s">
        <v>344</v>
      </c>
      <c r="AT43" s="54">
        <f>B1-'10'!B1</f>
        <v>1673.0500000000002</v>
      </c>
      <c r="AU43" s="78">
        <f>AU1-'10'!AU1</f>
        <v>33823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31" priority="67" operator="equal">
      <formula>$R$1</formula>
    </cfRule>
    <cfRule type="cellIs" dxfId="630" priority="68" operator="equal">
      <formula>$M$1</formula>
    </cfRule>
  </conditionalFormatting>
  <conditionalFormatting sqref="C34 G34 K34 O34 S34 W34 AA34 AE34 AI34 AM34 AQ34 AU34">
    <cfRule type="cellIs" dxfId="629" priority="66" operator="equal">
      <formula>$AF$1</formula>
    </cfRule>
    <cfRule type="cellIs" dxfId="628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27" priority="63" operator="lessThan">
      <formula>0</formula>
    </cfRule>
    <cfRule type="cellIs" dxfId="626" priority="64" operator="greaterThanOrEqual">
      <formula>0</formula>
    </cfRule>
  </conditionalFormatting>
  <conditionalFormatting sqref="C38 G38 K38 O38 S38 W38 AA38 AE38 AI38 AM38 AQ38 AU38 AU42:AU43 AQ42">
    <cfRule type="cellIs" dxfId="625" priority="61" operator="lessThan">
      <formula>0</formula>
    </cfRule>
    <cfRule type="cellIs" dxfId="624" priority="62" operator="greaterThanOrEqual">
      <formula>0</formula>
    </cfRule>
  </conditionalFormatting>
  <conditionalFormatting sqref="D38">
    <cfRule type="cellIs" dxfId="623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22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21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20" priority="49" stopIfTrue="1" operator="between">
      <formula>0</formula>
      <formula>0.0416550925925926</formula>
    </cfRule>
    <cfRule type="cellIs" dxfId="619" priority="50" stopIfTrue="1" operator="between">
      <formula>0.0416666666666667</formula>
      <formula>0.0833217592592593</formula>
    </cfRule>
    <cfRule type="cellIs" dxfId="618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17" priority="37" operator="equal">
      <formula>MAX($D$36,$H$36,$L$36,$P$36,$T$36,$X$36,$AB$36,$AF$36,$AJ$36,$AN$36,$AR$36,$AV$36)</formula>
    </cfRule>
  </conditionalFormatting>
  <conditionalFormatting sqref="AP43">
    <cfRule type="cellIs" dxfId="616" priority="35" operator="lessThan">
      <formula>0</formula>
    </cfRule>
    <cfRule type="cellIs" dxfId="615" priority="36" operator="greaterThanOrEqual">
      <formula>0</formula>
    </cfRule>
  </conditionalFormatting>
  <conditionalFormatting sqref="B3:B33 F3:F33 J3:J33 N3:N33 R3:R33 V3:V33 Z3:Z33 AT3:AT33 AH3:AH33 AL3:AL33 AP3:AP33 AD3:AD33">
    <cfRule type="cellIs" dxfId="614" priority="58" stopIfTrue="1" operator="lessThan">
      <formula>50</formula>
    </cfRule>
    <cfRule type="cellIs" dxfId="613" priority="59" stopIfTrue="1" operator="greaterThanOrEqual">
      <formula>100</formula>
    </cfRule>
    <cfRule type="cellIs" dxfId="612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11" priority="55" stopIfTrue="1" operator="between">
      <formula>0</formula>
      <formula>749.99</formula>
    </cfRule>
    <cfRule type="cellIs" dxfId="610" priority="56" stopIfTrue="1" operator="greaterThanOrEqual">
      <formula>1500</formula>
    </cfRule>
    <cfRule type="cellIs" dxfId="609" priority="57" operator="greaterThanOrEqual">
      <formula>750</formula>
    </cfRule>
  </conditionalFormatting>
  <conditionalFormatting sqref="AQ43">
    <cfRule type="cellIs" dxfId="608" priority="33" stopIfTrue="1" operator="lessThan">
      <formula>0</formula>
    </cfRule>
    <cfRule type="cellIs" dxfId="607" priority="34" operator="greaterThanOrEqual">
      <formula>0</formula>
    </cfRule>
  </conditionalFormatting>
  <conditionalFormatting sqref="AL42">
    <cfRule type="cellIs" dxfId="606" priority="26" stopIfTrue="1" operator="lessThan">
      <formula>1000</formula>
    </cfRule>
    <cfRule type="cellIs" dxfId="605" priority="27" stopIfTrue="1" operator="lessThan">
      <formula>1100</formula>
    </cfRule>
    <cfRule type="cellIs" dxfId="604" priority="28" stopIfTrue="1" operator="lessThan">
      <formula>9999</formula>
    </cfRule>
  </conditionalFormatting>
  <conditionalFormatting sqref="AM42">
    <cfRule type="cellIs" dxfId="603" priority="23" stopIfTrue="1" operator="lessThan">
      <formula>10000</formula>
    </cfRule>
    <cfRule type="cellIs" dxfId="602" priority="24" stopIfTrue="1" operator="lessThan">
      <formula>13000</formula>
    </cfRule>
    <cfRule type="cellIs" dxfId="601" priority="25" stopIfTrue="1" operator="lessThan">
      <formula>99999</formula>
    </cfRule>
  </conditionalFormatting>
  <conditionalFormatting sqref="AL43">
    <cfRule type="cellIs" dxfId="600" priority="18" stopIfTrue="1" operator="lessThan">
      <formula>0.05</formula>
    </cfRule>
    <cfRule type="cellIs" dxfId="599" priority="19" stopIfTrue="1" operator="lessThan">
      <formula>0.1</formula>
    </cfRule>
    <cfRule type="cellIs" dxfId="598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8706.8750000000018</v>
      </c>
      <c r="C1" s="382"/>
      <c r="D1" s="83" t="s">
        <v>238</v>
      </c>
      <c r="E1" s="383">
        <f>AT35</f>
        <v>7807.6750000000011</v>
      </c>
      <c r="F1" s="383"/>
      <c r="G1" s="384" t="s">
        <v>152</v>
      </c>
      <c r="H1" s="384"/>
      <c r="I1" s="380">
        <f>MAX(B36,F36,J36,N36,R36,V36,Z36,AD36,AH36,AL36,AP36,AT36)</f>
        <v>130.34</v>
      </c>
      <c r="J1" s="380"/>
      <c r="K1" s="385" t="s">
        <v>159</v>
      </c>
      <c r="L1" s="385"/>
      <c r="M1" s="386">
        <f>MAX(B34,F34,J34,N34,R34,V34,Z34,AD34,AH34,AL34,AP34,AT34)</f>
        <v>1016.9499999999999</v>
      </c>
      <c r="N1" s="386"/>
      <c r="O1" s="379" t="s">
        <v>190</v>
      </c>
      <c r="P1" s="379"/>
      <c r="Q1" s="379"/>
      <c r="R1" s="149">
        <f>MIN(B34,F34,J34,N34,R34,V34,Z34,AD34,AH34,AL34,AP34,AT34)</f>
        <v>394.93</v>
      </c>
      <c r="S1" s="84" t="s">
        <v>207</v>
      </c>
      <c r="T1" s="372">
        <f>IFERROR(AVERAGE(B37,F37,J37,N37,R37,V37,Z37,AD37,AH37,AL37,AP37,AT37),0)</f>
        <v>24.231508363325386</v>
      </c>
      <c r="U1" s="372"/>
      <c r="V1" s="389" t="s">
        <v>480</v>
      </c>
      <c r="W1" s="389"/>
      <c r="X1" s="389"/>
      <c r="Y1" s="389"/>
      <c r="Z1" s="389"/>
      <c r="AA1" s="85" t="s">
        <v>207</v>
      </c>
      <c r="AB1" s="381">
        <f>IFERROR(AVERAGE(C37,G37,K37,O37,S37,W37,AA37,AE37,AI37,AM37,AQ37,AU37),0)</f>
        <v>275.12676947871887</v>
      </c>
      <c r="AC1" s="381"/>
      <c r="AD1" s="371" t="s">
        <v>190</v>
      </c>
      <c r="AE1" s="371"/>
      <c r="AF1" s="374">
        <f>MIN(C34,G34,K34,O34,S34,W34,AA34,AE34,AI34,AM34,AQ34,AU34)</f>
        <v>3700</v>
      </c>
      <c r="AG1" s="374"/>
      <c r="AH1" s="375" t="s">
        <v>159</v>
      </c>
      <c r="AI1" s="375"/>
      <c r="AJ1" s="376">
        <f>MAX(C34,G34,K34,O34,S34,W34,AA34,AE34,AI34,AM34,AQ34,AU34)</f>
        <v>13461</v>
      </c>
      <c r="AK1" s="376"/>
      <c r="AL1" s="378" t="s">
        <v>153</v>
      </c>
      <c r="AM1" s="378"/>
      <c r="AN1" s="377">
        <f>MAX(C36,G36,K36,O36,S36,W36,AA36,AE36,AI36,AM36,AQ36,AU36)</f>
        <v>2230</v>
      </c>
      <c r="AO1" s="377"/>
      <c r="AP1" s="367" t="s">
        <v>361</v>
      </c>
      <c r="AQ1" s="367"/>
      <c r="AR1" s="368">
        <f>MAX(D36,H36,L36,P36,T36,X36,AB36,AF36,AJ36,AN36,AR36,AV36)</f>
        <v>0.11388888888888889</v>
      </c>
      <c r="AS1" s="368"/>
      <c r="AT1" s="81" t="s">
        <v>2</v>
      </c>
      <c r="AU1" s="369">
        <f>AU35</f>
        <v>89263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20</v>
      </c>
      <c r="C3" s="55">
        <v>40</v>
      </c>
      <c r="D3" s="150"/>
      <c r="E3" s="75">
        <v>1</v>
      </c>
      <c r="F3" s="54">
        <v>10.6</v>
      </c>
      <c r="G3" s="55">
        <v>40</v>
      </c>
      <c r="H3" s="150"/>
      <c r="I3" s="75">
        <v>1</v>
      </c>
      <c r="J3" s="54"/>
      <c r="K3" s="55"/>
      <c r="L3" s="150"/>
      <c r="M3" s="75">
        <v>1</v>
      </c>
      <c r="N3" s="54">
        <v>42.78</v>
      </c>
      <c r="O3" s="55">
        <v>461</v>
      </c>
      <c r="P3" s="150"/>
      <c r="Q3" s="75">
        <v>1</v>
      </c>
      <c r="R3" s="54">
        <v>102.85</v>
      </c>
      <c r="S3" s="55">
        <v>1303</v>
      </c>
      <c r="T3" s="150"/>
      <c r="U3" s="75">
        <v>1</v>
      </c>
      <c r="V3" s="54">
        <v>11.2</v>
      </c>
      <c r="W3" s="55">
        <v>125</v>
      </c>
      <c r="X3" s="150"/>
      <c r="Y3" s="75">
        <v>1</v>
      </c>
      <c r="Z3" s="54">
        <v>25</v>
      </c>
      <c r="AA3" s="55">
        <v>25</v>
      </c>
      <c r="AB3" s="150"/>
      <c r="AC3" s="75">
        <v>1</v>
      </c>
      <c r="AD3" s="54">
        <v>43.9</v>
      </c>
      <c r="AE3" s="55">
        <v>475</v>
      </c>
      <c r="AF3" s="150"/>
      <c r="AG3" s="75">
        <v>1</v>
      </c>
      <c r="AH3" s="54">
        <v>17</v>
      </c>
      <c r="AI3" s="55">
        <v>180</v>
      </c>
      <c r="AJ3" s="150">
        <v>4.5833333333333337E-2</v>
      </c>
      <c r="AK3" s="75">
        <v>1</v>
      </c>
      <c r="AL3" s="54">
        <v>17</v>
      </c>
      <c r="AM3" s="55">
        <v>78</v>
      </c>
      <c r="AN3" s="150"/>
      <c r="AO3" s="75">
        <v>1</v>
      </c>
      <c r="AP3" s="54">
        <v>42.370000000000005</v>
      </c>
      <c r="AQ3" s="55">
        <v>340</v>
      </c>
      <c r="AR3" s="150"/>
      <c r="AS3" s="75">
        <v>1</v>
      </c>
      <c r="AT3" s="54">
        <v>31.28</v>
      </c>
      <c r="AU3" s="55">
        <v>366</v>
      </c>
      <c r="AV3" s="150"/>
      <c r="AW3" s="67"/>
    </row>
    <row r="4" spans="1:49" s="49" customFormat="1" ht="11.25" x14ac:dyDescent="0.2">
      <c r="A4" s="73">
        <f>A3+1</f>
        <v>2</v>
      </c>
      <c r="B4" s="54"/>
      <c r="C4" s="55"/>
      <c r="D4" s="150"/>
      <c r="E4" s="75">
        <f>E3+1</f>
        <v>2</v>
      </c>
      <c r="F4" s="54">
        <v>13.1</v>
      </c>
      <c r="G4" s="55">
        <v>40</v>
      </c>
      <c r="H4" s="150"/>
      <c r="I4" s="75">
        <f>I3+1</f>
        <v>2</v>
      </c>
      <c r="J4" s="54">
        <v>6.25</v>
      </c>
      <c r="K4" s="55">
        <v>35</v>
      </c>
      <c r="L4" s="150"/>
      <c r="M4" s="75">
        <f>M3+1</f>
        <v>2</v>
      </c>
      <c r="N4" s="54">
        <v>14.84</v>
      </c>
      <c r="O4" s="55">
        <v>78</v>
      </c>
      <c r="P4" s="150"/>
      <c r="Q4" s="75">
        <f>Q3+1</f>
        <v>2</v>
      </c>
      <c r="R4" s="54">
        <v>41.234999999999999</v>
      </c>
      <c r="S4" s="55">
        <v>448</v>
      </c>
      <c r="T4" s="150"/>
      <c r="U4" s="75">
        <f>U3+1</f>
        <v>2</v>
      </c>
      <c r="V4" s="54">
        <v>55.300000000000004</v>
      </c>
      <c r="W4" s="55">
        <v>771</v>
      </c>
      <c r="X4" s="150"/>
      <c r="Y4" s="75">
        <f>Y3+1</f>
        <v>2</v>
      </c>
      <c r="Z4" s="54">
        <v>40.94</v>
      </c>
      <c r="AA4" s="55">
        <v>213</v>
      </c>
      <c r="AB4" s="150">
        <v>4.2361111111111106E-2</v>
      </c>
      <c r="AC4" s="75">
        <f>AC3+1</f>
        <v>2</v>
      </c>
      <c r="AD4" s="54">
        <v>29.5</v>
      </c>
      <c r="AE4" s="55">
        <v>270</v>
      </c>
      <c r="AF4" s="150"/>
      <c r="AG4" s="75">
        <f>AG3+1</f>
        <v>2</v>
      </c>
      <c r="AH4" s="54">
        <v>8</v>
      </c>
      <c r="AI4" s="55">
        <v>110</v>
      </c>
      <c r="AJ4" s="150"/>
      <c r="AK4" s="75">
        <f>AK3+1</f>
        <v>2</v>
      </c>
      <c r="AL4" s="54">
        <v>12.780000000000001</v>
      </c>
      <c r="AM4" s="55">
        <v>310</v>
      </c>
      <c r="AN4" s="150"/>
      <c r="AO4" s="75">
        <f>AO3+1</f>
        <v>2</v>
      </c>
      <c r="AP4" s="54">
        <v>11.8</v>
      </c>
      <c r="AQ4" s="55">
        <v>100</v>
      </c>
      <c r="AR4" s="150"/>
      <c r="AS4" s="75">
        <f>AS3+1</f>
        <v>2</v>
      </c>
      <c r="AT4" s="54">
        <v>10</v>
      </c>
      <c r="AU4" s="55">
        <v>63</v>
      </c>
      <c r="AV4" s="150">
        <v>0.11388888888888889</v>
      </c>
      <c r="AW4" s="67"/>
    </row>
    <row r="5" spans="1:49" s="49" customFormat="1" ht="11.25" x14ac:dyDescent="0.2">
      <c r="A5" s="73">
        <f t="shared" ref="A5:A33" si="0">A4+1</f>
        <v>3</v>
      </c>
      <c r="B5" s="54">
        <v>15.5</v>
      </c>
      <c r="C5" s="55">
        <v>100</v>
      </c>
      <c r="D5" s="150"/>
      <c r="E5" s="75">
        <f t="shared" ref="E5:E30" si="1">E4+1</f>
        <v>3</v>
      </c>
      <c r="F5" s="54">
        <v>12.6</v>
      </c>
      <c r="G5" s="55">
        <v>40</v>
      </c>
      <c r="H5" s="150"/>
      <c r="I5" s="75">
        <f t="shared" ref="I5:I33" si="2">I4+1</f>
        <v>3</v>
      </c>
      <c r="J5" s="54">
        <v>33.75</v>
      </c>
      <c r="K5" s="55">
        <v>84</v>
      </c>
      <c r="L5" s="150"/>
      <c r="M5" s="75">
        <f t="shared" ref="M5:M32" si="3">M4+1</f>
        <v>3</v>
      </c>
      <c r="N5" s="54">
        <v>16.399999999999999</v>
      </c>
      <c r="O5" s="55">
        <v>325</v>
      </c>
      <c r="P5" s="150"/>
      <c r="Q5" s="75">
        <f t="shared" ref="Q5:Q33" si="4">Q4+1</f>
        <v>3</v>
      </c>
      <c r="R5" s="54">
        <v>10</v>
      </c>
      <c r="S5" s="55">
        <v>115</v>
      </c>
      <c r="T5" s="150"/>
      <c r="U5" s="75">
        <f t="shared" ref="U5:U32" si="5">U4+1</f>
        <v>3</v>
      </c>
      <c r="V5" s="54">
        <v>13.96</v>
      </c>
      <c r="W5" s="55">
        <v>140</v>
      </c>
      <c r="X5" s="150">
        <v>3.125E-2</v>
      </c>
      <c r="Y5" s="75">
        <f t="shared" ref="Y5:Y33" si="6">Y4+1</f>
        <v>3</v>
      </c>
      <c r="Z5" s="54">
        <v>43.77</v>
      </c>
      <c r="AA5" s="55">
        <v>689</v>
      </c>
      <c r="AB5" s="150"/>
      <c r="AC5" s="75">
        <f t="shared" ref="AC5:AC33" si="7">AC4+1</f>
        <v>3</v>
      </c>
      <c r="AD5" s="54">
        <v>16</v>
      </c>
      <c r="AE5" s="55">
        <v>50</v>
      </c>
      <c r="AF5" s="150"/>
      <c r="AG5" s="75">
        <f t="shared" ref="AG5:AG32" si="8">AG4+1</f>
        <v>3</v>
      </c>
      <c r="AH5" s="54">
        <v>8</v>
      </c>
      <c r="AI5" s="55">
        <v>110</v>
      </c>
      <c r="AJ5" s="150"/>
      <c r="AK5" s="75">
        <f t="shared" ref="AK5:AK33" si="9">AK4+1</f>
        <v>3</v>
      </c>
      <c r="AL5" s="54">
        <v>26.66</v>
      </c>
      <c r="AM5" s="55">
        <v>616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>
        <v>3.5416666666666666E-2</v>
      </c>
      <c r="AW5" s="67"/>
    </row>
    <row r="6" spans="1:49" s="49" customFormat="1" ht="11.25" x14ac:dyDescent="0.2">
      <c r="A6" s="73">
        <f t="shared" si="0"/>
        <v>4</v>
      </c>
      <c r="B6" s="54">
        <v>8.02</v>
      </c>
      <c r="C6" s="55">
        <v>153</v>
      </c>
      <c r="D6" s="150"/>
      <c r="E6" s="75">
        <f t="shared" si="1"/>
        <v>4</v>
      </c>
      <c r="F6" s="54">
        <v>23.610000000000003</v>
      </c>
      <c r="G6" s="55">
        <v>74</v>
      </c>
      <c r="H6" s="150">
        <v>2.4305555555555556E-2</v>
      </c>
      <c r="I6" s="75">
        <f t="shared" si="2"/>
        <v>4</v>
      </c>
      <c r="J6" s="54">
        <v>27.009999999999998</v>
      </c>
      <c r="K6" s="55">
        <v>163</v>
      </c>
      <c r="L6" s="150"/>
      <c r="M6" s="75">
        <f t="shared" si="3"/>
        <v>4</v>
      </c>
      <c r="N6" s="54">
        <v>5.5</v>
      </c>
      <c r="O6" s="55">
        <v>3</v>
      </c>
      <c r="P6" s="150"/>
      <c r="Q6" s="75">
        <f t="shared" si="4"/>
        <v>4</v>
      </c>
      <c r="R6" s="54">
        <v>14.74</v>
      </c>
      <c r="S6" s="55">
        <v>365</v>
      </c>
      <c r="T6" s="150"/>
      <c r="U6" s="75">
        <f t="shared" si="5"/>
        <v>4</v>
      </c>
      <c r="V6" s="54">
        <v>9.0500000000000007</v>
      </c>
      <c r="W6" s="55">
        <v>15</v>
      </c>
      <c r="X6" s="150"/>
      <c r="Y6" s="75">
        <f t="shared" si="6"/>
        <v>4</v>
      </c>
      <c r="Z6" s="54">
        <v>53.4</v>
      </c>
      <c r="AA6" s="55">
        <v>690</v>
      </c>
      <c r="AB6" s="150"/>
      <c r="AC6" s="75">
        <f t="shared" si="7"/>
        <v>4</v>
      </c>
      <c r="AD6" s="54">
        <v>94.61</v>
      </c>
      <c r="AE6" s="55">
        <v>1470</v>
      </c>
      <c r="AF6" s="150"/>
      <c r="AG6" s="75">
        <f t="shared" si="8"/>
        <v>4</v>
      </c>
      <c r="AH6" s="54">
        <v>15.7</v>
      </c>
      <c r="AI6" s="55">
        <v>387</v>
      </c>
      <c r="AJ6" s="150"/>
      <c r="AK6" s="75">
        <f t="shared" si="9"/>
        <v>4</v>
      </c>
      <c r="AL6" s="54">
        <v>15.63</v>
      </c>
      <c r="AM6" s="55">
        <v>50</v>
      </c>
      <c r="AN6" s="150"/>
      <c r="AO6" s="75">
        <f t="shared" si="10"/>
        <v>4</v>
      </c>
      <c r="AP6" s="54">
        <v>11</v>
      </c>
      <c r="AQ6" s="55">
        <v>60</v>
      </c>
      <c r="AR6" s="150">
        <v>5.9722222222222225E-2</v>
      </c>
      <c r="AS6" s="75">
        <f t="shared" si="11"/>
        <v>4</v>
      </c>
      <c r="AT6" s="54">
        <v>11.6</v>
      </c>
      <c r="AU6" s="55">
        <v>150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12</v>
      </c>
      <c r="C7" s="55">
        <v>8</v>
      </c>
      <c r="D7" s="150"/>
      <c r="E7" s="75">
        <f t="shared" si="1"/>
        <v>5</v>
      </c>
      <c r="F7" s="54">
        <v>30.660000000000004</v>
      </c>
      <c r="G7" s="55">
        <v>96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18.54</v>
      </c>
      <c r="O7" s="55">
        <v>88</v>
      </c>
      <c r="P7" s="150"/>
      <c r="Q7" s="75">
        <f t="shared" si="4"/>
        <v>5</v>
      </c>
      <c r="R7" s="54"/>
      <c r="S7" s="55"/>
      <c r="T7" s="150"/>
      <c r="U7" s="75">
        <f t="shared" si="5"/>
        <v>5</v>
      </c>
      <c r="V7" s="54">
        <v>16.68</v>
      </c>
      <c r="W7" s="55">
        <v>221</v>
      </c>
      <c r="X7" s="150"/>
      <c r="Y7" s="75">
        <f t="shared" si="6"/>
        <v>5</v>
      </c>
      <c r="Z7" s="54">
        <v>66.209999999999994</v>
      </c>
      <c r="AA7" s="55">
        <v>730</v>
      </c>
      <c r="AB7" s="150"/>
      <c r="AC7" s="75">
        <f t="shared" si="7"/>
        <v>5</v>
      </c>
      <c r="AD7" s="54">
        <v>34.51</v>
      </c>
      <c r="AE7" s="55">
        <v>385</v>
      </c>
      <c r="AF7" s="150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50"/>
      <c r="AK7" s="75">
        <f t="shared" si="9"/>
        <v>5</v>
      </c>
      <c r="AL7" s="54">
        <v>17.2</v>
      </c>
      <c r="AM7" s="55">
        <v>417</v>
      </c>
      <c r="AN7" s="150"/>
      <c r="AO7" s="75">
        <f t="shared" si="10"/>
        <v>5</v>
      </c>
      <c r="AP7" s="54">
        <v>15</v>
      </c>
      <c r="AQ7" s="55">
        <v>30</v>
      </c>
      <c r="AR7" s="150"/>
      <c r="AS7" s="75">
        <f t="shared" si="11"/>
        <v>5</v>
      </c>
      <c r="AT7" s="54">
        <v>20.2</v>
      </c>
      <c r="AU7" s="55">
        <v>180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25</v>
      </c>
      <c r="C8" s="55">
        <v>113</v>
      </c>
      <c r="D8" s="150"/>
      <c r="E8" s="75">
        <f t="shared" si="1"/>
        <v>6</v>
      </c>
      <c r="F8" s="54">
        <v>10.3</v>
      </c>
      <c r="G8" s="55">
        <v>60</v>
      </c>
      <c r="H8" s="150"/>
      <c r="I8" s="75">
        <f t="shared" si="2"/>
        <v>6</v>
      </c>
      <c r="J8" s="54">
        <v>10.3</v>
      </c>
      <c r="K8" s="55">
        <v>60</v>
      </c>
      <c r="L8" s="150"/>
      <c r="M8" s="75">
        <f t="shared" si="3"/>
        <v>6</v>
      </c>
      <c r="N8" s="54">
        <v>35.54</v>
      </c>
      <c r="O8" s="55">
        <v>206</v>
      </c>
      <c r="P8" s="150"/>
      <c r="Q8" s="75">
        <f t="shared" si="4"/>
        <v>6</v>
      </c>
      <c r="R8" s="54">
        <v>10.5</v>
      </c>
      <c r="S8" s="55">
        <v>7</v>
      </c>
      <c r="T8" s="150">
        <v>4.1666666666666664E-2</v>
      </c>
      <c r="U8" s="75">
        <f t="shared" si="5"/>
        <v>6</v>
      </c>
      <c r="V8" s="54"/>
      <c r="W8" s="55"/>
      <c r="X8" s="150"/>
      <c r="Y8" s="75">
        <f t="shared" si="6"/>
        <v>6</v>
      </c>
      <c r="Z8" s="54">
        <v>35.244999999999997</v>
      </c>
      <c r="AA8" s="55">
        <v>97</v>
      </c>
      <c r="AB8" s="150">
        <v>4.8611111111111112E-2</v>
      </c>
      <c r="AC8" s="75">
        <f t="shared" si="7"/>
        <v>6</v>
      </c>
      <c r="AD8" s="54">
        <v>16</v>
      </c>
      <c r="AE8" s="55">
        <v>50</v>
      </c>
      <c r="AF8" s="150"/>
      <c r="AG8" s="75">
        <f t="shared" si="8"/>
        <v>6</v>
      </c>
      <c r="AH8" s="54">
        <v>8</v>
      </c>
      <c r="AI8" s="55">
        <v>110</v>
      </c>
      <c r="AJ8" s="150"/>
      <c r="AK8" s="75">
        <f t="shared" si="9"/>
        <v>6</v>
      </c>
      <c r="AL8" s="54">
        <v>36.619999999999997</v>
      </c>
      <c r="AM8" s="55">
        <v>458</v>
      </c>
      <c r="AN8" s="150"/>
      <c r="AO8" s="75">
        <f t="shared" si="10"/>
        <v>6</v>
      </c>
      <c r="AP8" s="54">
        <v>18.04</v>
      </c>
      <c r="AQ8" s="55">
        <v>145</v>
      </c>
      <c r="AR8" s="150"/>
      <c r="AS8" s="75">
        <f t="shared" si="11"/>
        <v>6</v>
      </c>
      <c r="AT8" s="54">
        <v>12.9</v>
      </c>
      <c r="AU8" s="55">
        <v>40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23.53</v>
      </c>
      <c r="C9" s="55">
        <v>130</v>
      </c>
      <c r="D9" s="150">
        <v>4.1666666666666664E-2</v>
      </c>
      <c r="E9" s="75">
        <f t="shared" si="1"/>
        <v>7</v>
      </c>
      <c r="F9" s="54">
        <v>10.5</v>
      </c>
      <c r="G9" s="55">
        <v>12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11.4</v>
      </c>
      <c r="O9" s="55">
        <v>40</v>
      </c>
      <c r="P9" s="150">
        <v>4.1666666666666664E-2</v>
      </c>
      <c r="Q9" s="75">
        <f t="shared" si="4"/>
        <v>7</v>
      </c>
      <c r="R9" s="54">
        <v>12.55</v>
      </c>
      <c r="S9" s="55">
        <v>162</v>
      </c>
      <c r="T9" s="150"/>
      <c r="U9" s="75">
        <f t="shared" si="5"/>
        <v>7</v>
      </c>
      <c r="V9" s="54"/>
      <c r="W9" s="55"/>
      <c r="X9" s="150"/>
      <c r="Y9" s="75">
        <f t="shared" si="6"/>
        <v>7</v>
      </c>
      <c r="Z9" s="54">
        <v>61.69</v>
      </c>
      <c r="AA9" s="55">
        <v>575</v>
      </c>
      <c r="AB9" s="150"/>
      <c r="AC9" s="75">
        <f t="shared" si="7"/>
        <v>7</v>
      </c>
      <c r="AD9" s="54">
        <v>13.1</v>
      </c>
      <c r="AE9" s="55">
        <v>80</v>
      </c>
      <c r="AF9" s="150"/>
      <c r="AG9" s="75">
        <f t="shared" si="8"/>
        <v>7</v>
      </c>
      <c r="AH9" s="54">
        <v>14.5</v>
      </c>
      <c r="AI9" s="55">
        <v>75</v>
      </c>
      <c r="AJ9" s="150"/>
      <c r="AK9" s="75">
        <f t="shared" si="9"/>
        <v>7</v>
      </c>
      <c r="AL9" s="54">
        <v>25.27</v>
      </c>
      <c r="AM9" s="55">
        <v>113</v>
      </c>
      <c r="AN9" s="150">
        <v>3.125E-2</v>
      </c>
      <c r="AO9" s="75">
        <f t="shared" si="10"/>
        <v>7</v>
      </c>
      <c r="AP9" s="54">
        <v>14.3</v>
      </c>
      <c r="AQ9" s="55">
        <v>50</v>
      </c>
      <c r="AR9" s="150"/>
      <c r="AS9" s="75">
        <f t="shared" si="11"/>
        <v>7</v>
      </c>
      <c r="AT9" s="54"/>
      <c r="AU9" s="55"/>
      <c r="AV9" s="150"/>
      <c r="AW9" s="67"/>
    </row>
    <row r="10" spans="1:49" s="49" customFormat="1" ht="11.25" x14ac:dyDescent="0.2">
      <c r="A10" s="73">
        <f t="shared" si="0"/>
        <v>8</v>
      </c>
      <c r="B10" s="54">
        <v>15</v>
      </c>
      <c r="C10" s="55">
        <v>10</v>
      </c>
      <c r="D10" s="150"/>
      <c r="E10" s="75">
        <f t="shared" si="1"/>
        <v>8</v>
      </c>
      <c r="F10" s="54">
        <v>11.200000000000001</v>
      </c>
      <c r="G10" s="55">
        <v>48</v>
      </c>
      <c r="H10" s="150"/>
      <c r="I10" s="75">
        <f t="shared" si="2"/>
        <v>8</v>
      </c>
      <c r="J10" s="54">
        <v>15.5</v>
      </c>
      <c r="K10" s="55">
        <v>100</v>
      </c>
      <c r="L10" s="150"/>
      <c r="M10" s="75">
        <f t="shared" si="3"/>
        <v>8</v>
      </c>
      <c r="N10" s="54">
        <v>45.680000000000007</v>
      </c>
      <c r="O10" s="55">
        <v>221</v>
      </c>
      <c r="P10" s="150"/>
      <c r="Q10" s="75">
        <f t="shared" si="4"/>
        <v>8</v>
      </c>
      <c r="R10" s="54">
        <v>10</v>
      </c>
      <c r="S10" s="55">
        <v>115</v>
      </c>
      <c r="T10" s="150"/>
      <c r="U10" s="75">
        <f t="shared" si="5"/>
        <v>8</v>
      </c>
      <c r="V10" s="54"/>
      <c r="W10" s="55"/>
      <c r="X10" s="150"/>
      <c r="Y10" s="75">
        <f t="shared" si="6"/>
        <v>8</v>
      </c>
      <c r="Z10" s="54">
        <v>16</v>
      </c>
      <c r="AA10" s="55">
        <v>50</v>
      </c>
      <c r="AB10" s="150">
        <v>4.1666666666666664E-2</v>
      </c>
      <c r="AC10" s="75">
        <f t="shared" si="7"/>
        <v>8</v>
      </c>
      <c r="AD10" s="54">
        <v>11.99</v>
      </c>
      <c r="AE10" s="55">
        <v>79</v>
      </c>
      <c r="AF10" s="150"/>
      <c r="AG10" s="75">
        <f t="shared" si="8"/>
        <v>8</v>
      </c>
      <c r="AH10" s="49">
        <v>53.019999999999996</v>
      </c>
      <c r="AI10" s="49">
        <v>586</v>
      </c>
      <c r="AJ10" s="150"/>
      <c r="AK10" s="75">
        <f t="shared" si="9"/>
        <v>8</v>
      </c>
      <c r="AL10" s="54">
        <v>10.5</v>
      </c>
      <c r="AM10" s="55">
        <v>240</v>
      </c>
      <c r="AN10" s="150"/>
      <c r="AO10" s="75">
        <f t="shared" si="10"/>
        <v>8</v>
      </c>
      <c r="AP10" s="54">
        <v>16.75</v>
      </c>
      <c r="AQ10" s="55">
        <v>40</v>
      </c>
      <c r="AR10" s="150"/>
      <c r="AS10" s="75">
        <f t="shared" si="11"/>
        <v>8</v>
      </c>
      <c r="AT10" s="54"/>
      <c r="AU10" s="55"/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/>
      <c r="G11" s="55"/>
      <c r="H11" s="150"/>
      <c r="I11" s="75">
        <f t="shared" si="2"/>
        <v>9</v>
      </c>
      <c r="J11" s="54">
        <v>12.85</v>
      </c>
      <c r="K11" s="55">
        <v>52</v>
      </c>
      <c r="L11" s="150"/>
      <c r="M11" s="75">
        <f t="shared" si="3"/>
        <v>9</v>
      </c>
      <c r="N11" s="54">
        <v>29.6</v>
      </c>
      <c r="O11" s="55">
        <v>246</v>
      </c>
      <c r="P11" s="150"/>
      <c r="Q11" s="75">
        <f t="shared" si="4"/>
        <v>9</v>
      </c>
      <c r="R11" s="54"/>
      <c r="S11" s="55"/>
      <c r="T11" s="150"/>
      <c r="U11" s="75">
        <f t="shared" si="5"/>
        <v>9</v>
      </c>
      <c r="V11" s="54"/>
      <c r="W11" s="55"/>
      <c r="X11" s="150"/>
      <c r="Y11" s="75">
        <f t="shared" si="6"/>
        <v>9</v>
      </c>
      <c r="Z11" s="54">
        <v>16</v>
      </c>
      <c r="AA11" s="55">
        <v>65</v>
      </c>
      <c r="AB11" s="150"/>
      <c r="AC11" s="75">
        <f t="shared" si="7"/>
        <v>9</v>
      </c>
      <c r="AD11" s="54">
        <v>16</v>
      </c>
      <c r="AE11" s="55">
        <v>50</v>
      </c>
      <c r="AF11" s="150"/>
      <c r="AG11" s="75">
        <f t="shared" si="8"/>
        <v>9</v>
      </c>
      <c r="AH11" s="54">
        <v>51.95</v>
      </c>
      <c r="AI11" s="55">
        <v>595</v>
      </c>
      <c r="AJ11" s="150"/>
      <c r="AK11" s="75">
        <f t="shared" si="9"/>
        <v>9</v>
      </c>
      <c r="AL11" s="54">
        <v>14.5</v>
      </c>
      <c r="AM11" s="55">
        <v>40</v>
      </c>
      <c r="AN11" s="150"/>
      <c r="AO11" s="75">
        <f t="shared" si="10"/>
        <v>9</v>
      </c>
      <c r="AP11" s="54">
        <v>10.1</v>
      </c>
      <c r="AQ11" s="55">
        <v>306</v>
      </c>
      <c r="AR11" s="150"/>
      <c r="AS11" s="75">
        <f t="shared" si="11"/>
        <v>9</v>
      </c>
      <c r="AT11" s="54"/>
      <c r="AU11" s="55"/>
      <c r="AV11" s="150">
        <v>7.5694444444444439E-2</v>
      </c>
      <c r="AW11" s="67"/>
    </row>
    <row r="12" spans="1:49" s="49" customFormat="1" ht="11.25" x14ac:dyDescent="0.2">
      <c r="A12" s="73">
        <f t="shared" si="0"/>
        <v>10</v>
      </c>
      <c r="B12" s="54">
        <v>11</v>
      </c>
      <c r="C12" s="55">
        <v>50</v>
      </c>
      <c r="D12" s="150"/>
      <c r="E12" s="75">
        <f t="shared" si="1"/>
        <v>10</v>
      </c>
      <c r="F12" s="54"/>
      <c r="G12" s="55"/>
      <c r="H12" s="150"/>
      <c r="I12" s="75">
        <f t="shared" si="2"/>
        <v>10</v>
      </c>
      <c r="J12" s="54">
        <v>43.6</v>
      </c>
      <c r="K12" s="55">
        <v>448</v>
      </c>
      <c r="L12" s="150"/>
      <c r="M12" s="75">
        <f t="shared" si="3"/>
        <v>10</v>
      </c>
      <c r="N12" s="54">
        <v>13.26</v>
      </c>
      <c r="O12" s="55">
        <v>80</v>
      </c>
      <c r="P12" s="150"/>
      <c r="Q12" s="75">
        <f t="shared" si="4"/>
        <v>10</v>
      </c>
      <c r="R12" s="54">
        <v>14.74</v>
      </c>
      <c r="S12" s="55">
        <v>365</v>
      </c>
      <c r="T12" s="150"/>
      <c r="U12" s="75">
        <f t="shared" si="5"/>
        <v>10</v>
      </c>
      <c r="V12" s="54"/>
      <c r="W12" s="55"/>
      <c r="X12" s="150"/>
      <c r="Y12" s="75">
        <f t="shared" si="6"/>
        <v>10</v>
      </c>
      <c r="Z12" s="54">
        <v>17.190000000000001</v>
      </c>
      <c r="AA12" s="55">
        <v>345</v>
      </c>
      <c r="AB12" s="150"/>
      <c r="AC12" s="75">
        <f t="shared" si="7"/>
        <v>10</v>
      </c>
      <c r="AD12" s="54">
        <v>27.06</v>
      </c>
      <c r="AE12" s="55">
        <v>160</v>
      </c>
      <c r="AF12" s="150"/>
      <c r="AG12" s="75">
        <f t="shared" si="8"/>
        <v>10</v>
      </c>
      <c r="AH12" s="49">
        <v>14.309999999999999</v>
      </c>
      <c r="AI12" s="49">
        <v>101</v>
      </c>
      <c r="AJ12" s="150"/>
      <c r="AK12" s="75">
        <f t="shared" si="9"/>
        <v>10</v>
      </c>
      <c r="AL12" s="54">
        <v>24.66</v>
      </c>
      <c r="AM12" s="55">
        <v>25</v>
      </c>
      <c r="AN12" s="150"/>
      <c r="AO12" s="75">
        <f t="shared" si="10"/>
        <v>10</v>
      </c>
      <c r="AP12" s="54"/>
      <c r="AQ12" s="55"/>
      <c r="AR12" s="150">
        <v>8.5416666666666655E-2</v>
      </c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>
        <v>10.3</v>
      </c>
      <c r="C13" s="55">
        <v>60</v>
      </c>
      <c r="D13" s="150"/>
      <c r="E13" s="75">
        <f t="shared" si="1"/>
        <v>11</v>
      </c>
      <c r="F13" s="54">
        <v>18.3</v>
      </c>
      <c r="G13" s="55">
        <v>160</v>
      </c>
      <c r="H13" s="150">
        <v>4.1666666666666664E-2</v>
      </c>
      <c r="I13" s="75">
        <f t="shared" si="2"/>
        <v>11</v>
      </c>
      <c r="J13" s="54">
        <v>31.17</v>
      </c>
      <c r="K13" s="55">
        <v>60</v>
      </c>
      <c r="L13" s="150">
        <v>2.0833333333333332E-2</v>
      </c>
      <c r="M13" s="75">
        <f t="shared" si="3"/>
        <v>11</v>
      </c>
      <c r="N13" s="54"/>
      <c r="O13" s="55"/>
      <c r="P13" s="150"/>
      <c r="Q13" s="75">
        <f t="shared" si="4"/>
        <v>11</v>
      </c>
      <c r="R13" s="54">
        <v>16.8</v>
      </c>
      <c r="S13" s="55">
        <v>330</v>
      </c>
      <c r="T13" s="150"/>
      <c r="U13" s="75">
        <f t="shared" si="5"/>
        <v>11</v>
      </c>
      <c r="V13" s="54">
        <v>31.75</v>
      </c>
      <c r="W13" s="55">
        <v>194</v>
      </c>
      <c r="X13" s="150"/>
      <c r="Y13" s="75">
        <f t="shared" si="6"/>
        <v>11</v>
      </c>
      <c r="Z13" s="54">
        <v>18.27</v>
      </c>
      <c r="AA13" s="55">
        <v>95</v>
      </c>
      <c r="AB13" s="150"/>
      <c r="AC13" s="75">
        <f t="shared" si="7"/>
        <v>11</v>
      </c>
      <c r="AD13" s="54">
        <v>47.2</v>
      </c>
      <c r="AE13" s="55">
        <v>1305</v>
      </c>
      <c r="AF13" s="150">
        <v>3.125E-2</v>
      </c>
      <c r="AG13" s="75">
        <f t="shared" si="8"/>
        <v>11</v>
      </c>
      <c r="AH13" s="54">
        <v>13.55</v>
      </c>
      <c r="AI13" s="55">
        <v>40</v>
      </c>
      <c r="AJ13" s="150"/>
      <c r="AK13" s="75">
        <f t="shared" si="9"/>
        <v>11</v>
      </c>
      <c r="AL13" s="54">
        <v>10</v>
      </c>
      <c r="AM13" s="55">
        <v>30</v>
      </c>
      <c r="AN13" s="150"/>
      <c r="AO13" s="75">
        <f t="shared" si="10"/>
        <v>11</v>
      </c>
      <c r="AP13" s="54">
        <v>20.100000000000001</v>
      </c>
      <c r="AQ13" s="55">
        <v>10</v>
      </c>
      <c r="AR13" s="150"/>
      <c r="AS13" s="75">
        <f t="shared" si="11"/>
        <v>11</v>
      </c>
      <c r="AT13" s="54"/>
      <c r="AU13" s="55"/>
      <c r="AV13" s="150">
        <v>8.3333333333333332E-3</v>
      </c>
      <c r="AW13" s="67"/>
    </row>
    <row r="14" spans="1:49" s="49" customFormat="1" ht="11.25" x14ac:dyDescent="0.2">
      <c r="A14" s="73">
        <f t="shared" si="0"/>
        <v>12</v>
      </c>
      <c r="B14" s="54">
        <v>10.26</v>
      </c>
      <c r="C14" s="55">
        <v>70</v>
      </c>
      <c r="D14" s="150"/>
      <c r="E14" s="75">
        <f t="shared" si="1"/>
        <v>12</v>
      </c>
      <c r="F14" s="54">
        <v>26.16</v>
      </c>
      <c r="G14" s="55">
        <v>380</v>
      </c>
      <c r="H14" s="150">
        <v>2.0833333333333332E-2</v>
      </c>
      <c r="I14" s="75">
        <f t="shared" si="2"/>
        <v>12</v>
      </c>
      <c r="J14" s="54">
        <v>12.3</v>
      </c>
      <c r="K14" s="55">
        <v>65</v>
      </c>
      <c r="L14" s="150"/>
      <c r="M14" s="75">
        <f t="shared" si="3"/>
        <v>12</v>
      </c>
      <c r="N14" s="54">
        <v>15</v>
      </c>
      <c r="O14" s="55">
        <v>25</v>
      </c>
      <c r="P14" s="150"/>
      <c r="Q14" s="75">
        <f t="shared" si="4"/>
        <v>12</v>
      </c>
      <c r="R14" s="54">
        <v>26.950000000000003</v>
      </c>
      <c r="S14" s="55">
        <v>842</v>
      </c>
      <c r="T14" s="150">
        <v>6.25E-2</v>
      </c>
      <c r="U14" s="75">
        <f t="shared" si="5"/>
        <v>12</v>
      </c>
      <c r="V14" s="54">
        <v>28.29</v>
      </c>
      <c r="W14" s="55">
        <v>531</v>
      </c>
      <c r="X14" s="150"/>
      <c r="Y14" s="75">
        <f t="shared" si="6"/>
        <v>12</v>
      </c>
      <c r="Z14" s="54"/>
      <c r="AA14" s="55"/>
      <c r="AB14" s="150">
        <v>9.930555555555555E-2</v>
      </c>
      <c r="AC14" s="75">
        <f t="shared" si="7"/>
        <v>12</v>
      </c>
      <c r="AD14" s="54">
        <v>130.34</v>
      </c>
      <c r="AE14" s="78">
        <v>1420</v>
      </c>
      <c r="AF14" s="150"/>
      <c r="AG14" s="75">
        <f t="shared" si="8"/>
        <v>12</v>
      </c>
      <c r="AH14" s="54">
        <v>6.1400000000000006</v>
      </c>
      <c r="AI14" s="55">
        <v>33</v>
      </c>
      <c r="AJ14" s="150">
        <v>2.7083333333333334E-2</v>
      </c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10.92</v>
      </c>
      <c r="AQ14" s="55">
        <v>312</v>
      </c>
      <c r="AR14" s="150"/>
      <c r="AS14" s="75">
        <f t="shared" si="11"/>
        <v>12</v>
      </c>
      <c r="AT14" s="54">
        <v>11.5</v>
      </c>
      <c r="AU14" s="55">
        <v>90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/>
      <c r="I15" s="75">
        <f t="shared" si="2"/>
        <v>13</v>
      </c>
      <c r="J15" s="54">
        <v>15.5</v>
      </c>
      <c r="K15" s="55">
        <v>100</v>
      </c>
      <c r="L15" s="150"/>
      <c r="M15" s="75">
        <f t="shared" si="3"/>
        <v>13</v>
      </c>
      <c r="N15" s="54">
        <v>19.3</v>
      </c>
      <c r="O15" s="55">
        <v>130</v>
      </c>
      <c r="P15" s="150"/>
      <c r="Q15" s="75">
        <f t="shared" si="4"/>
        <v>13</v>
      </c>
      <c r="R15" s="54">
        <v>35.269999999999996</v>
      </c>
      <c r="S15" s="55">
        <v>422</v>
      </c>
      <c r="T15" s="150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50"/>
      <c r="Y15" s="75">
        <f t="shared" si="6"/>
        <v>13</v>
      </c>
      <c r="Z15" s="54">
        <v>20.420000000000002</v>
      </c>
      <c r="AA15" s="55">
        <v>66</v>
      </c>
      <c r="AB15" s="150"/>
      <c r="AC15" s="75">
        <f t="shared" si="7"/>
        <v>13</v>
      </c>
      <c r="AD15" s="54">
        <v>14.84</v>
      </c>
      <c r="AE15" s="55">
        <v>78</v>
      </c>
      <c r="AF15" s="150"/>
      <c r="AG15" s="75">
        <f t="shared" si="8"/>
        <v>13</v>
      </c>
      <c r="AH15" s="54">
        <v>6.1400000000000006</v>
      </c>
      <c r="AI15" s="55">
        <v>33</v>
      </c>
      <c r="AJ15" s="150"/>
      <c r="AK15" s="75">
        <f t="shared" si="9"/>
        <v>13</v>
      </c>
      <c r="AL15" s="54">
        <v>63.8</v>
      </c>
      <c r="AM15" s="55">
        <v>386</v>
      </c>
      <c r="AN15" s="150"/>
      <c r="AO15" s="75">
        <f t="shared" si="10"/>
        <v>13</v>
      </c>
      <c r="AP15" s="54">
        <v>20.9</v>
      </c>
      <c r="AQ15" s="55">
        <v>105</v>
      </c>
      <c r="AR15" s="150"/>
      <c r="AS15" s="75">
        <f t="shared" si="11"/>
        <v>13</v>
      </c>
      <c r="AT15" s="54">
        <v>13.8</v>
      </c>
      <c r="AU15" s="55">
        <v>115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12.56</v>
      </c>
      <c r="C16" s="55">
        <v>64</v>
      </c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>
        <v>13.57</v>
      </c>
      <c r="K16" s="55">
        <v>85</v>
      </c>
      <c r="L16" s="150"/>
      <c r="M16" s="75">
        <f t="shared" si="3"/>
        <v>14</v>
      </c>
      <c r="N16" s="54">
        <v>94.1</v>
      </c>
      <c r="O16" s="55">
        <v>1295</v>
      </c>
      <c r="P16" s="150"/>
      <c r="Q16" s="75">
        <f t="shared" si="4"/>
        <v>14</v>
      </c>
      <c r="R16" s="54">
        <v>14.91</v>
      </c>
      <c r="S16" s="49">
        <v>143</v>
      </c>
      <c r="T16" s="150"/>
      <c r="U16" s="75">
        <f t="shared" si="5"/>
        <v>14</v>
      </c>
      <c r="V16" s="54">
        <v>27.249999999999996</v>
      </c>
      <c r="W16" s="55">
        <v>187</v>
      </c>
      <c r="X16" s="150"/>
      <c r="Y16" s="75">
        <f t="shared" si="6"/>
        <v>14</v>
      </c>
      <c r="Z16" s="54">
        <v>38.799999999999997</v>
      </c>
      <c r="AA16" s="55">
        <v>510</v>
      </c>
      <c r="AB16" s="150"/>
      <c r="AC16" s="75">
        <f t="shared" si="7"/>
        <v>14</v>
      </c>
      <c r="AD16" s="54">
        <v>14.84</v>
      </c>
      <c r="AE16" s="55">
        <v>78</v>
      </c>
      <c r="AF16" s="150"/>
      <c r="AG16" s="75">
        <f t="shared" si="8"/>
        <v>14</v>
      </c>
      <c r="AH16" s="54">
        <v>14.7</v>
      </c>
      <c r="AI16" s="55">
        <v>70</v>
      </c>
      <c r="AJ16" s="150"/>
      <c r="AK16" s="75">
        <f t="shared" si="9"/>
        <v>14</v>
      </c>
      <c r="AL16" s="54">
        <v>35.6</v>
      </c>
      <c r="AM16" s="55">
        <v>513</v>
      </c>
      <c r="AN16" s="150"/>
      <c r="AO16" s="75">
        <f t="shared" si="10"/>
        <v>14</v>
      </c>
      <c r="AP16" s="54">
        <v>10.1</v>
      </c>
      <c r="AQ16" s="55">
        <v>306</v>
      </c>
      <c r="AR16" s="150"/>
      <c r="AS16" s="75">
        <f t="shared" si="11"/>
        <v>14</v>
      </c>
      <c r="AT16" s="54">
        <v>12.7</v>
      </c>
      <c r="AU16" s="55">
        <v>23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20.560000000000002</v>
      </c>
      <c r="C17" s="55">
        <v>130</v>
      </c>
      <c r="D17" s="150"/>
      <c r="E17" s="75">
        <f t="shared" si="1"/>
        <v>15</v>
      </c>
      <c r="F17" s="54">
        <v>13.6</v>
      </c>
      <c r="G17" s="55">
        <v>70</v>
      </c>
      <c r="H17" s="150"/>
      <c r="I17" s="75">
        <f t="shared" si="2"/>
        <v>15</v>
      </c>
      <c r="J17" s="54">
        <v>19.86</v>
      </c>
      <c r="K17" s="55">
        <v>130</v>
      </c>
      <c r="L17" s="150"/>
      <c r="M17" s="75">
        <f t="shared" si="3"/>
        <v>15</v>
      </c>
      <c r="N17" s="54">
        <v>22.740000000000002</v>
      </c>
      <c r="O17" s="55">
        <v>63</v>
      </c>
      <c r="P17" s="150"/>
      <c r="Q17" s="75">
        <f t="shared" si="4"/>
        <v>15</v>
      </c>
      <c r="R17" s="54">
        <v>20.39</v>
      </c>
      <c r="S17" s="49">
        <v>159</v>
      </c>
      <c r="T17" s="150"/>
      <c r="U17" s="75">
        <f t="shared" si="5"/>
        <v>15</v>
      </c>
      <c r="V17" s="54">
        <v>102.45</v>
      </c>
      <c r="W17" s="55">
        <v>1440</v>
      </c>
      <c r="X17" s="150"/>
      <c r="Y17" s="75">
        <f t="shared" si="6"/>
        <v>15</v>
      </c>
      <c r="Z17" s="54">
        <v>28</v>
      </c>
      <c r="AA17" s="55">
        <v>420</v>
      </c>
      <c r="AB17" s="150">
        <v>3.125E-2</v>
      </c>
      <c r="AC17" s="75">
        <f t="shared" si="7"/>
        <v>15</v>
      </c>
      <c r="AD17" s="54">
        <v>109.08</v>
      </c>
      <c r="AE17" s="55">
        <v>1503</v>
      </c>
      <c r="AF17" s="150"/>
      <c r="AG17" s="75">
        <f t="shared" si="8"/>
        <v>15</v>
      </c>
      <c r="AH17" s="54">
        <v>17</v>
      </c>
      <c r="AI17" s="55">
        <v>78</v>
      </c>
      <c r="AJ17" s="150"/>
      <c r="AK17" s="75">
        <f t="shared" si="9"/>
        <v>15</v>
      </c>
      <c r="AL17" s="54">
        <v>10</v>
      </c>
      <c r="AM17" s="55">
        <v>30</v>
      </c>
      <c r="AN17" s="150">
        <v>4.5138888888888888E-2</v>
      </c>
      <c r="AO17" s="75">
        <f t="shared" si="10"/>
        <v>15</v>
      </c>
      <c r="AP17" s="54">
        <v>25</v>
      </c>
      <c r="AQ17" s="55">
        <v>25</v>
      </c>
      <c r="AR17" s="150"/>
      <c r="AS17" s="75">
        <f t="shared" si="11"/>
        <v>15</v>
      </c>
      <c r="AT17" s="54"/>
      <c r="AU17" s="55"/>
      <c r="AV17" s="150">
        <v>2.361111111111111E-2</v>
      </c>
      <c r="AW17" s="67"/>
    </row>
    <row r="18" spans="1:49" s="49" customFormat="1" ht="11.25" x14ac:dyDescent="0.2">
      <c r="A18" s="73">
        <f t="shared" si="0"/>
        <v>16</v>
      </c>
      <c r="B18" s="54">
        <v>19.649999999999999</v>
      </c>
      <c r="C18" s="55">
        <v>281</v>
      </c>
      <c r="D18" s="150"/>
      <c r="E18" s="75">
        <f t="shared" si="1"/>
        <v>16</v>
      </c>
      <c r="F18" s="54">
        <v>20.399999999999999</v>
      </c>
      <c r="G18" s="55">
        <v>70</v>
      </c>
      <c r="H18" s="150"/>
      <c r="I18" s="75">
        <f t="shared" si="2"/>
        <v>16</v>
      </c>
      <c r="J18" s="54">
        <v>29.05</v>
      </c>
      <c r="K18" s="55">
        <v>190</v>
      </c>
      <c r="L18" s="150"/>
      <c r="M18" s="75">
        <f t="shared" si="3"/>
        <v>16</v>
      </c>
      <c r="N18" s="54">
        <v>14</v>
      </c>
      <c r="O18" s="55">
        <v>20</v>
      </c>
      <c r="P18" s="150"/>
      <c r="Q18" s="75">
        <f t="shared" si="4"/>
        <v>16</v>
      </c>
      <c r="R18" s="54">
        <v>8.26</v>
      </c>
      <c r="S18" s="55">
        <v>70</v>
      </c>
      <c r="T18" s="150"/>
      <c r="U18" s="75">
        <f t="shared" si="5"/>
        <v>16</v>
      </c>
      <c r="V18" s="54">
        <v>10.3</v>
      </c>
      <c r="W18" s="55">
        <v>60</v>
      </c>
      <c r="X18" s="150"/>
      <c r="Y18" s="75">
        <f t="shared" si="6"/>
        <v>16</v>
      </c>
      <c r="Z18" s="54">
        <v>14.8</v>
      </c>
      <c r="AA18" s="55">
        <v>50</v>
      </c>
      <c r="AB18" s="150"/>
      <c r="AC18" s="75">
        <f t="shared" si="7"/>
        <v>16</v>
      </c>
      <c r="AD18" s="54">
        <v>16.57</v>
      </c>
      <c r="AE18" s="55">
        <v>55</v>
      </c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>
        <v>17</v>
      </c>
      <c r="AM18" s="55">
        <v>78</v>
      </c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>
        <v>14.8</v>
      </c>
      <c r="AU18" s="55">
        <v>330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17.5</v>
      </c>
      <c r="C19" s="55">
        <v>69</v>
      </c>
      <c r="D19" s="150"/>
      <c r="E19" s="75">
        <f t="shared" si="1"/>
        <v>17</v>
      </c>
      <c r="F19" s="54">
        <v>12.4</v>
      </c>
      <c r="G19" s="55">
        <v>120</v>
      </c>
      <c r="H19" s="150"/>
      <c r="I19" s="75">
        <f t="shared" si="2"/>
        <v>17</v>
      </c>
      <c r="J19" s="54">
        <v>64.89</v>
      </c>
      <c r="K19" s="55">
        <v>1035</v>
      </c>
      <c r="L19" s="150"/>
      <c r="M19" s="75">
        <f t="shared" si="3"/>
        <v>17</v>
      </c>
      <c r="N19" s="54"/>
      <c r="O19" s="55"/>
      <c r="P19" s="150">
        <v>4.1666666666666664E-2</v>
      </c>
      <c r="Q19" s="75">
        <f t="shared" si="4"/>
        <v>17</v>
      </c>
      <c r="R19" s="54">
        <v>48.35</v>
      </c>
      <c r="S19" s="55">
        <v>549</v>
      </c>
      <c r="T19" s="150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50"/>
      <c r="Y19" s="75">
        <f t="shared" si="6"/>
        <v>17</v>
      </c>
      <c r="Z19" s="54">
        <v>9.4</v>
      </c>
      <c r="AA19" s="55">
        <v>240</v>
      </c>
      <c r="AB19" s="150"/>
      <c r="AC19" s="75">
        <f t="shared" si="7"/>
        <v>17</v>
      </c>
      <c r="AD19" s="54">
        <v>11.61</v>
      </c>
      <c r="AE19" s="55">
        <v>101</v>
      </c>
      <c r="AF19" s="150"/>
      <c r="AG19" s="75">
        <f t="shared" si="8"/>
        <v>17</v>
      </c>
      <c r="AH19" s="54"/>
      <c r="AI19" s="55"/>
      <c r="AJ19" s="150"/>
      <c r="AK19" s="75">
        <f t="shared" si="9"/>
        <v>17</v>
      </c>
      <c r="AL19" s="54">
        <v>14.8</v>
      </c>
      <c r="AM19" s="55">
        <v>330</v>
      </c>
      <c r="AN19" s="150"/>
      <c r="AO19" s="75">
        <f t="shared" si="10"/>
        <v>17</v>
      </c>
      <c r="AP19" s="54">
        <v>33</v>
      </c>
      <c r="AQ19" s="55">
        <v>130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10.56</v>
      </c>
      <c r="C20" s="55">
        <v>62</v>
      </c>
      <c r="D20" s="150"/>
      <c r="E20" s="75">
        <f t="shared" si="1"/>
        <v>18</v>
      </c>
      <c r="F20" s="54">
        <v>33.959999999999994</v>
      </c>
      <c r="G20" s="55">
        <v>260</v>
      </c>
      <c r="H20" s="150"/>
      <c r="I20" s="75">
        <f t="shared" si="2"/>
        <v>18</v>
      </c>
      <c r="J20" s="54">
        <v>20.6</v>
      </c>
      <c r="K20" s="55">
        <v>509</v>
      </c>
      <c r="L20" s="150"/>
      <c r="M20" s="75">
        <f t="shared" si="3"/>
        <v>18</v>
      </c>
      <c r="N20" s="54">
        <v>8.26</v>
      </c>
      <c r="O20" s="55">
        <v>70</v>
      </c>
      <c r="P20" s="150"/>
      <c r="Q20" s="75">
        <f t="shared" si="4"/>
        <v>18</v>
      </c>
      <c r="R20" s="54">
        <v>11.2</v>
      </c>
      <c r="S20" s="55">
        <v>125</v>
      </c>
      <c r="T20" s="150"/>
      <c r="U20" s="75">
        <f t="shared" si="5"/>
        <v>18</v>
      </c>
      <c r="V20" s="54">
        <v>22.26</v>
      </c>
      <c r="W20" s="55">
        <v>242</v>
      </c>
      <c r="X20" s="150"/>
      <c r="Y20" s="75">
        <f t="shared" si="6"/>
        <v>18</v>
      </c>
      <c r="Z20" s="54">
        <v>10.5</v>
      </c>
      <c r="AA20" s="55">
        <v>240</v>
      </c>
      <c r="AB20" s="150"/>
      <c r="AC20" s="75">
        <f t="shared" si="7"/>
        <v>18</v>
      </c>
      <c r="AD20" s="54">
        <v>40.700000000000003</v>
      </c>
      <c r="AE20" s="55">
        <v>890</v>
      </c>
      <c r="AF20" s="150"/>
      <c r="AG20" s="75">
        <f t="shared" si="8"/>
        <v>18</v>
      </c>
      <c r="AH20" s="54"/>
      <c r="AI20" s="55"/>
      <c r="AJ20" s="150"/>
      <c r="AK20" s="75">
        <f t="shared" si="9"/>
        <v>18</v>
      </c>
      <c r="AL20" s="54">
        <v>16.7</v>
      </c>
      <c r="AM20" s="55">
        <v>394</v>
      </c>
      <c r="AN20" s="150"/>
      <c r="AO20" s="75">
        <f t="shared" si="10"/>
        <v>18</v>
      </c>
      <c r="AP20" s="54">
        <v>29.5</v>
      </c>
      <c r="AQ20" s="55">
        <v>541</v>
      </c>
      <c r="AR20" s="150"/>
      <c r="AS20" s="75">
        <f t="shared" si="11"/>
        <v>18</v>
      </c>
      <c r="AT20" s="54">
        <v>10.1</v>
      </c>
      <c r="AU20" s="55">
        <v>306</v>
      </c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23.17</v>
      </c>
      <c r="G21" s="55">
        <v>400</v>
      </c>
      <c r="H21" s="150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50"/>
      <c r="M21" s="75">
        <f t="shared" si="3"/>
        <v>19</v>
      </c>
      <c r="N21" s="54">
        <v>13.96</v>
      </c>
      <c r="O21" s="55">
        <v>140</v>
      </c>
      <c r="P21" s="150"/>
      <c r="Q21" s="75">
        <f t="shared" si="4"/>
        <v>19</v>
      </c>
      <c r="R21" s="54">
        <v>72.760000000000005</v>
      </c>
      <c r="S21" s="55">
        <v>1215</v>
      </c>
      <c r="T21" s="150"/>
      <c r="U21" s="75">
        <f t="shared" si="5"/>
        <v>19</v>
      </c>
      <c r="V21" s="54">
        <v>24.92</v>
      </c>
      <c r="W21" s="55">
        <v>279</v>
      </c>
      <c r="X21" s="150"/>
      <c r="Y21" s="75">
        <f t="shared" si="6"/>
        <v>19</v>
      </c>
      <c r="Z21" s="54">
        <v>10.5</v>
      </c>
      <c r="AA21" s="55">
        <v>240</v>
      </c>
      <c r="AB21" s="150"/>
      <c r="AC21" s="75">
        <f t="shared" si="7"/>
        <v>19</v>
      </c>
      <c r="AD21" s="54">
        <v>85.07</v>
      </c>
      <c r="AE21" s="55">
        <v>1105</v>
      </c>
      <c r="AF21" s="150"/>
      <c r="AG21" s="75">
        <f t="shared" si="8"/>
        <v>19</v>
      </c>
      <c r="AH21" s="54"/>
      <c r="AI21" s="55"/>
      <c r="AJ21" s="150"/>
      <c r="AK21" s="75">
        <f t="shared" si="9"/>
        <v>19</v>
      </c>
      <c r="AL21" s="54">
        <v>19.600000000000001</v>
      </c>
      <c r="AM21" s="55">
        <v>440</v>
      </c>
      <c r="AN21" s="150"/>
      <c r="AO21" s="75">
        <f t="shared" si="10"/>
        <v>19</v>
      </c>
      <c r="AP21" s="54">
        <v>14.7</v>
      </c>
      <c r="AQ21" s="55">
        <v>45</v>
      </c>
      <c r="AR21" s="150"/>
      <c r="AS21" s="75">
        <f t="shared" si="11"/>
        <v>19</v>
      </c>
      <c r="AT21" s="54">
        <v>12.48</v>
      </c>
      <c r="AU21" s="55">
        <v>346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>
        <v>10.8</v>
      </c>
      <c r="G22" s="55">
        <v>65</v>
      </c>
      <c r="H22" s="150"/>
      <c r="I22" s="75">
        <f t="shared" si="2"/>
        <v>20</v>
      </c>
      <c r="J22" s="54">
        <v>13.57</v>
      </c>
      <c r="K22" s="55">
        <v>85</v>
      </c>
      <c r="L22" s="150"/>
      <c r="M22" s="75">
        <f t="shared" si="3"/>
        <v>20</v>
      </c>
      <c r="N22" s="54">
        <v>16.560000000000002</v>
      </c>
      <c r="O22" s="55">
        <v>189</v>
      </c>
      <c r="P22" s="150"/>
      <c r="Q22" s="75">
        <f t="shared" si="4"/>
        <v>20</v>
      </c>
      <c r="R22" s="54">
        <v>104.83999999999999</v>
      </c>
      <c r="S22" s="55">
        <v>1539</v>
      </c>
      <c r="T22" s="150"/>
      <c r="U22" s="75">
        <f t="shared" si="5"/>
        <v>20</v>
      </c>
      <c r="V22" s="54">
        <v>37.46</v>
      </c>
      <c r="W22" s="55">
        <v>245</v>
      </c>
      <c r="X22" s="150"/>
      <c r="Y22" s="75">
        <f t="shared" si="6"/>
        <v>20</v>
      </c>
      <c r="Z22" s="54">
        <v>14.8</v>
      </c>
      <c r="AA22" s="55">
        <v>50</v>
      </c>
      <c r="AB22" s="150"/>
      <c r="AC22" s="75">
        <f t="shared" si="7"/>
        <v>20</v>
      </c>
      <c r="AD22" s="54">
        <v>16.8</v>
      </c>
      <c r="AE22" s="55">
        <v>50</v>
      </c>
      <c r="AF22" s="150"/>
      <c r="AG22" s="75">
        <f t="shared" si="8"/>
        <v>20</v>
      </c>
      <c r="AH22" s="54"/>
      <c r="AI22" s="55"/>
      <c r="AJ22" s="150"/>
      <c r="AK22" s="75">
        <f t="shared" si="9"/>
        <v>20</v>
      </c>
      <c r="AL22" s="54">
        <v>34.26</v>
      </c>
      <c r="AM22" s="55">
        <v>478</v>
      </c>
      <c r="AN22" s="150"/>
      <c r="AO22" s="75">
        <f t="shared" si="10"/>
        <v>20</v>
      </c>
      <c r="AP22" s="54">
        <v>15.8</v>
      </c>
      <c r="AQ22" s="55">
        <v>250</v>
      </c>
      <c r="AR22" s="150"/>
      <c r="AS22" s="75">
        <f t="shared" si="11"/>
        <v>20</v>
      </c>
      <c r="AT22" s="54">
        <v>10.1</v>
      </c>
      <c r="AU22" s="55">
        <v>306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8.26</v>
      </c>
      <c r="C23" s="55">
        <v>70</v>
      </c>
      <c r="D23" s="150"/>
      <c r="E23" s="75">
        <f t="shared" si="1"/>
        <v>21</v>
      </c>
      <c r="F23" s="54">
        <v>13.96</v>
      </c>
      <c r="G23" s="55">
        <v>140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38.450000000000003</v>
      </c>
      <c r="O23" s="55">
        <v>379</v>
      </c>
      <c r="P23" s="150"/>
      <c r="Q23" s="75">
        <f t="shared" si="4"/>
        <v>21</v>
      </c>
      <c r="R23" s="54">
        <v>11.2</v>
      </c>
      <c r="S23" s="55">
        <v>125</v>
      </c>
      <c r="T23" s="150"/>
      <c r="U23" s="75">
        <f t="shared" si="5"/>
        <v>21</v>
      </c>
      <c r="V23" s="54">
        <v>31</v>
      </c>
      <c r="W23" s="55">
        <v>600</v>
      </c>
      <c r="X23" s="150"/>
      <c r="Y23" s="75">
        <f t="shared" si="6"/>
        <v>21</v>
      </c>
      <c r="Z23" s="54">
        <v>48.84</v>
      </c>
      <c r="AA23" s="55">
        <v>808</v>
      </c>
      <c r="AB23" s="150"/>
      <c r="AC23" s="75">
        <f t="shared" si="7"/>
        <v>21</v>
      </c>
      <c r="AD23" s="54">
        <v>24.66</v>
      </c>
      <c r="AE23" s="55">
        <v>25</v>
      </c>
      <c r="AF23" s="150"/>
      <c r="AG23" s="75">
        <f t="shared" si="8"/>
        <v>21</v>
      </c>
      <c r="AH23" s="54"/>
      <c r="AI23" s="55"/>
      <c r="AJ23" s="150"/>
      <c r="AK23" s="75">
        <f t="shared" si="9"/>
        <v>21</v>
      </c>
      <c r="AL23" s="54">
        <v>60.16</v>
      </c>
      <c r="AM23" s="55">
        <v>910</v>
      </c>
      <c r="AN23" s="150"/>
      <c r="AO23" s="75">
        <f t="shared" si="10"/>
        <v>21</v>
      </c>
      <c r="AP23" s="54">
        <v>20.18</v>
      </c>
      <c r="AQ23" s="55">
        <v>434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29.52</v>
      </c>
      <c r="C24" s="55">
        <v>501</v>
      </c>
      <c r="D24" s="150"/>
      <c r="E24" s="75">
        <f t="shared" si="1"/>
        <v>22</v>
      </c>
      <c r="F24" s="54">
        <v>15.96</v>
      </c>
      <c r="G24" s="55">
        <v>145</v>
      </c>
      <c r="H24" s="150"/>
      <c r="I24" s="75">
        <f t="shared" si="2"/>
        <v>22</v>
      </c>
      <c r="J24" s="54">
        <v>15.8</v>
      </c>
      <c r="K24" s="55">
        <v>250</v>
      </c>
      <c r="L24" s="150"/>
      <c r="M24" s="75">
        <f t="shared" si="3"/>
        <v>22</v>
      </c>
      <c r="N24" s="54">
        <v>19.79</v>
      </c>
      <c r="O24" s="55">
        <v>361</v>
      </c>
      <c r="P24" s="150"/>
      <c r="Q24" s="75">
        <f t="shared" si="4"/>
        <v>22</v>
      </c>
      <c r="R24" s="54">
        <v>11.2</v>
      </c>
      <c r="S24" s="49">
        <v>125</v>
      </c>
      <c r="T24" s="150"/>
      <c r="U24" s="75">
        <f t="shared" si="5"/>
        <v>22</v>
      </c>
      <c r="V24" s="54">
        <v>39.650000000000006</v>
      </c>
      <c r="W24" s="55">
        <v>535</v>
      </c>
      <c r="X24" s="150"/>
      <c r="Y24" s="75">
        <f t="shared" si="6"/>
        <v>22</v>
      </c>
      <c r="Z24" s="54">
        <v>47.250000000000007</v>
      </c>
      <c r="AA24" s="55">
        <v>1305</v>
      </c>
      <c r="AB24" s="150"/>
      <c r="AC24" s="75">
        <f t="shared" si="7"/>
        <v>22</v>
      </c>
      <c r="AD24" s="54">
        <v>8</v>
      </c>
      <c r="AE24" s="55">
        <v>110</v>
      </c>
      <c r="AF24" s="150"/>
      <c r="AG24" s="75">
        <f t="shared" si="8"/>
        <v>22</v>
      </c>
      <c r="AH24" s="54"/>
      <c r="AI24" s="55"/>
      <c r="AJ24" s="150"/>
      <c r="AK24" s="75">
        <f t="shared" si="9"/>
        <v>22</v>
      </c>
      <c r="AL24" s="54">
        <v>27.06</v>
      </c>
      <c r="AM24" s="55">
        <v>160</v>
      </c>
      <c r="AN24" s="150"/>
      <c r="AO24" s="75">
        <f t="shared" si="10"/>
        <v>22</v>
      </c>
      <c r="AP24" s="54">
        <v>10.8</v>
      </c>
      <c r="AQ24" s="55">
        <v>5</v>
      </c>
      <c r="AR24" s="150"/>
      <c r="AS24" s="75">
        <f t="shared" si="11"/>
        <v>22</v>
      </c>
      <c r="AT24" s="54">
        <v>19</v>
      </c>
      <c r="AU24" s="55">
        <v>380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14</v>
      </c>
      <c r="C25" s="55">
        <v>20</v>
      </c>
      <c r="D25" s="150"/>
      <c r="E25" s="75">
        <f t="shared" si="1"/>
        <v>23</v>
      </c>
      <c r="F25" s="54">
        <v>27.4</v>
      </c>
      <c r="G25" s="55">
        <v>220</v>
      </c>
      <c r="H25" s="150"/>
      <c r="I25" s="75">
        <f t="shared" si="2"/>
        <v>23</v>
      </c>
      <c r="J25" s="54">
        <v>15.8</v>
      </c>
      <c r="K25" s="55">
        <v>250</v>
      </c>
      <c r="L25" s="150"/>
      <c r="M25" s="75">
        <f t="shared" si="3"/>
        <v>23</v>
      </c>
      <c r="N25" s="54">
        <v>18.399999999999999</v>
      </c>
      <c r="O25" s="55">
        <v>105</v>
      </c>
      <c r="P25" s="150"/>
      <c r="Q25" s="75">
        <f t="shared" si="4"/>
        <v>23</v>
      </c>
      <c r="R25" s="54">
        <v>11.2</v>
      </c>
      <c r="S25" s="55">
        <v>125</v>
      </c>
      <c r="T25" s="150"/>
      <c r="U25" s="75">
        <f t="shared" si="5"/>
        <v>23</v>
      </c>
      <c r="V25" s="54">
        <v>42.3</v>
      </c>
      <c r="W25" s="55">
        <v>558</v>
      </c>
      <c r="X25" s="150"/>
      <c r="Y25" s="75">
        <f t="shared" si="6"/>
        <v>23</v>
      </c>
      <c r="Z25" s="54">
        <v>20</v>
      </c>
      <c r="AA25" s="55">
        <v>120</v>
      </c>
      <c r="AB25" s="150"/>
      <c r="AC25" s="75">
        <f t="shared" si="7"/>
        <v>23</v>
      </c>
      <c r="AD25" s="54">
        <v>8</v>
      </c>
      <c r="AE25" s="55">
        <v>110</v>
      </c>
      <c r="AF25" s="150"/>
      <c r="AG25" s="75">
        <f t="shared" si="8"/>
        <v>23</v>
      </c>
      <c r="AH25" s="54"/>
      <c r="AI25" s="55"/>
      <c r="AJ25" s="150"/>
      <c r="AK25" s="75">
        <f t="shared" si="9"/>
        <v>23</v>
      </c>
      <c r="AL25" s="54">
        <v>12.75</v>
      </c>
      <c r="AM25" s="55">
        <v>245</v>
      </c>
      <c r="AN25" s="150"/>
      <c r="AO25" s="75">
        <f t="shared" si="10"/>
        <v>23</v>
      </c>
      <c r="AP25" s="54">
        <v>16.93</v>
      </c>
      <c r="AQ25" s="55">
        <v>340</v>
      </c>
      <c r="AR25" s="150"/>
      <c r="AS25" s="75">
        <f t="shared" si="11"/>
        <v>23</v>
      </c>
      <c r="AT25" s="54">
        <v>25.509999999999998</v>
      </c>
      <c r="AU25" s="55">
        <v>160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12.5</v>
      </c>
      <c r="C26" s="55">
        <v>130</v>
      </c>
      <c r="D26" s="150"/>
      <c r="E26" s="75">
        <f t="shared" si="1"/>
        <v>24</v>
      </c>
      <c r="F26" s="54">
        <v>19.399999999999999</v>
      </c>
      <c r="G26" s="55">
        <v>200</v>
      </c>
      <c r="H26" s="150"/>
      <c r="I26" s="75">
        <f t="shared" si="2"/>
        <v>24</v>
      </c>
      <c r="J26" s="54">
        <v>103.14</v>
      </c>
      <c r="K26" s="55">
        <v>1595</v>
      </c>
      <c r="L26" s="150"/>
      <c r="M26" s="75">
        <f t="shared" si="3"/>
        <v>24</v>
      </c>
      <c r="N26" s="54">
        <v>13.96</v>
      </c>
      <c r="O26" s="55">
        <v>140</v>
      </c>
      <c r="P26" s="150"/>
      <c r="Q26" s="75">
        <f t="shared" si="4"/>
        <v>24</v>
      </c>
      <c r="R26" s="54">
        <v>11.2</v>
      </c>
      <c r="S26" s="55">
        <v>125</v>
      </c>
      <c r="T26" s="150"/>
      <c r="U26" s="75">
        <f t="shared" si="5"/>
        <v>24</v>
      </c>
      <c r="V26" s="54">
        <v>14.059999999999999</v>
      </c>
      <c r="W26" s="55">
        <v>100</v>
      </c>
      <c r="X26" s="150"/>
      <c r="Y26" s="75">
        <f t="shared" si="6"/>
        <v>24</v>
      </c>
      <c r="Z26" s="54">
        <v>16.3</v>
      </c>
      <c r="AA26" s="55">
        <v>360</v>
      </c>
      <c r="AB26" s="150"/>
      <c r="AC26" s="75">
        <f t="shared" si="7"/>
        <v>24</v>
      </c>
      <c r="AD26" s="54">
        <v>8</v>
      </c>
      <c r="AE26" s="55">
        <v>110</v>
      </c>
      <c r="AF26" s="150"/>
      <c r="AG26" s="75">
        <f t="shared" si="8"/>
        <v>24</v>
      </c>
      <c r="AH26" s="54">
        <v>15.66</v>
      </c>
      <c r="AI26" s="55">
        <v>83</v>
      </c>
      <c r="AJ26" s="150"/>
      <c r="AK26" s="75">
        <f t="shared" si="9"/>
        <v>24</v>
      </c>
      <c r="AL26" s="54">
        <v>21.5</v>
      </c>
      <c r="AM26" s="55">
        <v>70</v>
      </c>
      <c r="AN26" s="150"/>
      <c r="AO26" s="75">
        <f t="shared" si="10"/>
        <v>24</v>
      </c>
      <c r="AP26" s="54">
        <v>42.86</v>
      </c>
      <c r="AQ26" s="55">
        <v>676</v>
      </c>
      <c r="AR26" s="150"/>
      <c r="AS26" s="75">
        <f t="shared" si="11"/>
        <v>24</v>
      </c>
      <c r="AT26" s="54">
        <v>53.66</v>
      </c>
      <c r="AU26" s="55">
        <v>568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10.6</v>
      </c>
      <c r="C27" s="55">
        <v>40</v>
      </c>
      <c r="D27" s="150"/>
      <c r="E27" s="75">
        <f t="shared" si="1"/>
        <v>25</v>
      </c>
      <c r="F27" s="54">
        <v>42.79</v>
      </c>
      <c r="G27" s="55">
        <v>683</v>
      </c>
      <c r="H27" s="150"/>
      <c r="I27" s="75">
        <f t="shared" si="2"/>
        <v>25</v>
      </c>
      <c r="J27" s="54">
        <v>15.8</v>
      </c>
      <c r="K27" s="55">
        <v>250</v>
      </c>
      <c r="L27" s="150"/>
      <c r="M27" s="75">
        <f t="shared" si="3"/>
        <v>25</v>
      </c>
      <c r="N27" s="54">
        <v>11.4</v>
      </c>
      <c r="O27" s="55">
        <v>40</v>
      </c>
      <c r="P27" s="150"/>
      <c r="Q27" s="75">
        <f t="shared" si="4"/>
        <v>25</v>
      </c>
      <c r="R27" s="54">
        <v>18.2</v>
      </c>
      <c r="S27" s="55">
        <v>355</v>
      </c>
      <c r="T27" s="150"/>
      <c r="U27" s="75">
        <f t="shared" si="5"/>
        <v>25</v>
      </c>
      <c r="V27" s="54">
        <v>49.32</v>
      </c>
      <c r="W27" s="55">
        <v>50</v>
      </c>
      <c r="X27" s="150"/>
      <c r="Y27" s="75">
        <f t="shared" si="6"/>
        <v>25</v>
      </c>
      <c r="Z27" s="54">
        <v>23.15</v>
      </c>
      <c r="AA27" s="55">
        <v>135</v>
      </c>
      <c r="AB27" s="150"/>
      <c r="AC27" s="75">
        <f t="shared" si="7"/>
        <v>25</v>
      </c>
      <c r="AD27" s="54">
        <v>40.6</v>
      </c>
      <c r="AE27" s="55">
        <v>880</v>
      </c>
      <c r="AF27" s="150"/>
      <c r="AG27" s="75">
        <f t="shared" si="8"/>
        <v>25</v>
      </c>
      <c r="AH27" s="54">
        <v>15.5</v>
      </c>
      <c r="AI27" s="55">
        <v>100</v>
      </c>
      <c r="AJ27" s="150"/>
      <c r="AK27" s="75">
        <f t="shared" si="9"/>
        <v>25</v>
      </c>
      <c r="AL27" s="54">
        <v>10.1</v>
      </c>
      <c r="AM27" s="55">
        <v>306</v>
      </c>
      <c r="AN27" s="150"/>
      <c r="AO27" s="75">
        <f t="shared" si="10"/>
        <v>25</v>
      </c>
      <c r="AP27" s="54">
        <v>22.6</v>
      </c>
      <c r="AQ27" s="55">
        <v>123</v>
      </c>
      <c r="AR27" s="150"/>
      <c r="AS27" s="75">
        <f t="shared" si="11"/>
        <v>25</v>
      </c>
      <c r="AT27" s="54">
        <v>24.9</v>
      </c>
      <c r="AU27" s="55">
        <v>140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13.81</v>
      </c>
      <c r="C28" s="55">
        <v>210</v>
      </c>
      <c r="D28" s="150"/>
      <c r="E28" s="75">
        <f t="shared" si="1"/>
        <v>26</v>
      </c>
      <c r="F28" s="54">
        <v>51.4</v>
      </c>
      <c r="G28" s="55">
        <v>498</v>
      </c>
      <c r="H28" s="150"/>
      <c r="I28" s="75">
        <f t="shared" si="2"/>
        <v>26</v>
      </c>
      <c r="J28" s="54">
        <v>19.87</v>
      </c>
      <c r="K28" s="55">
        <v>434</v>
      </c>
      <c r="L28" s="150"/>
      <c r="M28" s="75">
        <f t="shared" si="3"/>
        <v>26</v>
      </c>
      <c r="N28" s="54">
        <v>17.740000000000002</v>
      </c>
      <c r="O28" s="55">
        <v>93</v>
      </c>
      <c r="P28" s="150"/>
      <c r="Q28" s="75">
        <f t="shared" si="4"/>
        <v>26</v>
      </c>
      <c r="R28" s="54">
        <v>55.809999999999995</v>
      </c>
      <c r="S28" s="55">
        <v>1399</v>
      </c>
      <c r="T28" s="150"/>
      <c r="U28" s="75">
        <f t="shared" si="5"/>
        <v>26</v>
      </c>
      <c r="V28" s="54">
        <v>38.799999999999997</v>
      </c>
      <c r="W28" s="55">
        <v>510</v>
      </c>
      <c r="X28" s="150"/>
      <c r="Y28" s="75">
        <f t="shared" si="6"/>
        <v>26</v>
      </c>
      <c r="Z28" s="54">
        <v>25.085000000000001</v>
      </c>
      <c r="AA28" s="55">
        <v>26</v>
      </c>
      <c r="AB28" s="150"/>
      <c r="AC28" s="75">
        <f t="shared" si="7"/>
        <v>26</v>
      </c>
      <c r="AD28" s="54">
        <v>41.2</v>
      </c>
      <c r="AE28" s="55">
        <v>836</v>
      </c>
      <c r="AF28" s="150"/>
      <c r="AG28" s="75">
        <f t="shared" si="8"/>
        <v>26</v>
      </c>
      <c r="AH28" s="54">
        <v>17</v>
      </c>
      <c r="AI28" s="55">
        <v>78</v>
      </c>
      <c r="AJ28" s="150"/>
      <c r="AK28" s="75">
        <f t="shared" si="9"/>
        <v>26</v>
      </c>
      <c r="AL28" s="54"/>
      <c r="AM28" s="55"/>
      <c r="AN28" s="150">
        <v>1.5972222222222224E-2</v>
      </c>
      <c r="AO28" s="75">
        <f t="shared" si="10"/>
        <v>26</v>
      </c>
      <c r="AP28" s="54">
        <v>10</v>
      </c>
      <c r="AQ28" s="55">
        <v>63</v>
      </c>
      <c r="AR28" s="150"/>
      <c r="AS28" s="75">
        <f t="shared" si="11"/>
        <v>26</v>
      </c>
      <c r="AT28" s="54">
        <v>14.8</v>
      </c>
      <c r="AU28" s="55">
        <v>330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27.03</v>
      </c>
      <c r="C29" s="55">
        <v>338</v>
      </c>
      <c r="D29" s="150"/>
      <c r="E29" s="75">
        <f t="shared" si="1"/>
        <v>27</v>
      </c>
      <c r="F29" s="54">
        <v>13.96</v>
      </c>
      <c r="G29" s="55">
        <v>140</v>
      </c>
      <c r="H29" s="150"/>
      <c r="I29" s="75">
        <f t="shared" si="2"/>
        <v>27</v>
      </c>
      <c r="J29" s="54">
        <v>13.64</v>
      </c>
      <c r="K29" s="55">
        <v>10</v>
      </c>
      <c r="L29" s="150"/>
      <c r="M29" s="75">
        <f t="shared" si="3"/>
        <v>27</v>
      </c>
      <c r="N29" s="54">
        <v>17.600000000000001</v>
      </c>
      <c r="O29" s="55">
        <v>370</v>
      </c>
      <c r="P29" s="150"/>
      <c r="Q29" s="75">
        <f t="shared" si="4"/>
        <v>27</v>
      </c>
      <c r="R29" s="54">
        <v>56.95</v>
      </c>
      <c r="S29" s="55">
        <v>329</v>
      </c>
      <c r="T29" s="150"/>
      <c r="U29" s="75">
        <f t="shared" si="5"/>
        <v>27</v>
      </c>
      <c r="V29" s="54">
        <v>33.5</v>
      </c>
      <c r="W29" s="55">
        <v>153</v>
      </c>
      <c r="X29" s="150"/>
      <c r="Y29" s="75">
        <f t="shared" si="6"/>
        <v>27</v>
      </c>
      <c r="Z29" s="54">
        <v>29.25</v>
      </c>
      <c r="AA29" s="55">
        <v>190</v>
      </c>
      <c r="AB29" s="150"/>
      <c r="AC29" s="75">
        <f t="shared" si="7"/>
        <v>27</v>
      </c>
      <c r="AD29" s="54">
        <v>16.3</v>
      </c>
      <c r="AE29" s="55">
        <v>385</v>
      </c>
      <c r="AF29" s="150"/>
      <c r="AG29" s="75">
        <f t="shared" si="8"/>
        <v>27</v>
      </c>
      <c r="AH29" s="54">
        <v>16.45</v>
      </c>
      <c r="AI29" s="55">
        <v>168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27.060000000000002</v>
      </c>
      <c r="C30" s="55">
        <v>159</v>
      </c>
      <c r="D30" s="150"/>
      <c r="E30" s="75">
        <f t="shared" si="1"/>
        <v>28</v>
      </c>
      <c r="F30" s="54">
        <v>10.3</v>
      </c>
      <c r="G30" s="55">
        <v>60</v>
      </c>
      <c r="H30" s="150"/>
      <c r="I30" s="75">
        <f t="shared" si="2"/>
        <v>28</v>
      </c>
      <c r="J30" s="54">
        <v>10</v>
      </c>
      <c r="K30" s="55">
        <v>20</v>
      </c>
      <c r="L30" s="150"/>
      <c r="M30" s="75">
        <f t="shared" si="3"/>
        <v>28</v>
      </c>
      <c r="N30" s="54">
        <v>82.9</v>
      </c>
      <c r="O30" s="55">
        <v>2230</v>
      </c>
      <c r="P30" s="150"/>
      <c r="Q30" s="75">
        <f t="shared" si="4"/>
        <v>28</v>
      </c>
      <c r="R30" s="54">
        <v>101.35</v>
      </c>
      <c r="S30" s="55">
        <v>1300</v>
      </c>
      <c r="T30" s="150"/>
      <c r="U30" s="75">
        <f t="shared" si="5"/>
        <v>28</v>
      </c>
      <c r="V30" s="54">
        <v>24.66</v>
      </c>
      <c r="W30" s="55">
        <v>25</v>
      </c>
      <c r="X30" s="150"/>
      <c r="Y30" s="75">
        <f t="shared" si="6"/>
        <v>28</v>
      </c>
      <c r="Z30" s="54">
        <v>16.850000000000001</v>
      </c>
      <c r="AA30" s="55">
        <v>536</v>
      </c>
      <c r="AB30" s="150">
        <v>4.1666666666666664E-2</v>
      </c>
      <c r="AC30" s="75">
        <f t="shared" si="7"/>
        <v>28</v>
      </c>
      <c r="AD30" s="54">
        <v>17.8</v>
      </c>
      <c r="AE30" s="55">
        <v>360</v>
      </c>
      <c r="AF30" s="150"/>
      <c r="AG30" s="75">
        <f t="shared" si="8"/>
        <v>28</v>
      </c>
      <c r="AH30" s="54">
        <v>16</v>
      </c>
      <c r="AI30" s="55">
        <v>220</v>
      </c>
      <c r="AJ30" s="150"/>
      <c r="AK30" s="75">
        <f t="shared" si="9"/>
        <v>28</v>
      </c>
      <c r="AL30" s="54">
        <v>41.04</v>
      </c>
      <c r="AM30" s="55">
        <v>448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>
        <v>11.1</v>
      </c>
      <c r="AU30" s="55">
        <v>40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25.3</v>
      </c>
      <c r="C31" s="55">
        <v>316</v>
      </c>
      <c r="D31" s="150"/>
      <c r="E31" s="75">
        <v>29</v>
      </c>
      <c r="F31" s="54">
        <v>8.23</v>
      </c>
      <c r="G31" s="55">
        <v>45</v>
      </c>
      <c r="H31" s="150"/>
      <c r="I31" s="75">
        <f t="shared" si="2"/>
        <v>29</v>
      </c>
      <c r="J31" s="54">
        <v>12.8</v>
      </c>
      <c r="K31" s="55">
        <v>70</v>
      </c>
      <c r="L31" s="150"/>
      <c r="M31" s="75">
        <f t="shared" si="3"/>
        <v>29</v>
      </c>
      <c r="N31" s="54">
        <v>24.36</v>
      </c>
      <c r="O31" s="55">
        <v>380</v>
      </c>
      <c r="P31" s="150"/>
      <c r="Q31" s="75">
        <f t="shared" si="4"/>
        <v>29</v>
      </c>
      <c r="R31" s="54">
        <v>21.46</v>
      </c>
      <c r="S31" s="55">
        <v>86</v>
      </c>
      <c r="T31" s="150"/>
      <c r="U31" s="75">
        <f t="shared" si="5"/>
        <v>29</v>
      </c>
      <c r="V31" s="54">
        <v>55.28</v>
      </c>
      <c r="W31" s="55">
        <v>230</v>
      </c>
      <c r="X31" s="150"/>
      <c r="Y31" s="75">
        <f t="shared" si="6"/>
        <v>29</v>
      </c>
      <c r="Z31" s="54">
        <v>43.6</v>
      </c>
      <c r="AA31" s="55">
        <v>930</v>
      </c>
      <c r="AB31" s="150"/>
      <c r="AC31" s="75">
        <f t="shared" si="7"/>
        <v>29</v>
      </c>
      <c r="AD31" s="54">
        <v>16.3</v>
      </c>
      <c r="AE31" s="55">
        <v>385</v>
      </c>
      <c r="AF31" s="150"/>
      <c r="AG31" s="75">
        <f t="shared" si="8"/>
        <v>29</v>
      </c>
      <c r="AH31" s="54">
        <v>21</v>
      </c>
      <c r="AI31" s="55">
        <v>190</v>
      </c>
      <c r="AJ31" s="150">
        <v>4.1666666666666664E-2</v>
      </c>
      <c r="AK31" s="75">
        <f t="shared" si="9"/>
        <v>29</v>
      </c>
      <c r="AL31" s="54">
        <v>17</v>
      </c>
      <c r="AM31" s="55">
        <v>78</v>
      </c>
      <c r="AN31" s="150"/>
      <c r="AO31" s="75">
        <f t="shared" si="10"/>
        <v>29</v>
      </c>
      <c r="AP31" s="54">
        <v>13.1</v>
      </c>
      <c r="AQ31" s="55">
        <v>40</v>
      </c>
      <c r="AR31" s="150"/>
      <c r="AS31" s="75">
        <f t="shared" si="11"/>
        <v>29</v>
      </c>
      <c r="AT31" s="54">
        <v>43.7</v>
      </c>
      <c r="AU31" s="55">
        <v>505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17.05</v>
      </c>
      <c r="C32" s="55">
        <v>536</v>
      </c>
      <c r="D32" s="150"/>
      <c r="E32" s="75"/>
      <c r="F32" s="54"/>
      <c r="G32" s="55"/>
      <c r="H32" s="150"/>
      <c r="I32" s="75">
        <f t="shared" si="2"/>
        <v>30</v>
      </c>
      <c r="J32" s="54">
        <v>15.32</v>
      </c>
      <c r="K32" s="55">
        <v>98</v>
      </c>
      <c r="L32" s="150"/>
      <c r="M32" s="75">
        <f t="shared" si="3"/>
        <v>30</v>
      </c>
      <c r="N32" s="54">
        <v>16.850000000000001</v>
      </c>
      <c r="O32" s="55">
        <v>536</v>
      </c>
      <c r="P32" s="150"/>
      <c r="Q32" s="75">
        <f t="shared" si="4"/>
        <v>30</v>
      </c>
      <c r="R32" s="54">
        <v>9.0399999999999991</v>
      </c>
      <c r="S32" s="55">
        <v>48</v>
      </c>
      <c r="T32" s="150"/>
      <c r="U32" s="75">
        <f t="shared" si="5"/>
        <v>30</v>
      </c>
      <c r="V32" s="54">
        <v>49.93</v>
      </c>
      <c r="W32" s="55">
        <v>303</v>
      </c>
      <c r="X32" s="150"/>
      <c r="Y32" s="75">
        <f t="shared" si="6"/>
        <v>30</v>
      </c>
      <c r="Z32" s="54">
        <v>24.099999999999998</v>
      </c>
      <c r="AA32" s="55">
        <v>370</v>
      </c>
      <c r="AB32" s="150"/>
      <c r="AC32" s="75">
        <f t="shared" si="7"/>
        <v>30</v>
      </c>
      <c r="AD32" s="54">
        <v>14.8</v>
      </c>
      <c r="AE32" s="55">
        <v>330</v>
      </c>
      <c r="AF32" s="150"/>
      <c r="AG32" s="75">
        <f t="shared" si="8"/>
        <v>30</v>
      </c>
      <c r="AH32" s="54">
        <v>55.660000000000004</v>
      </c>
      <c r="AI32" s="55">
        <v>978</v>
      </c>
      <c r="AJ32" s="150"/>
      <c r="AK32" s="75">
        <f t="shared" si="9"/>
        <v>30</v>
      </c>
      <c r="AL32" s="54">
        <v>17.3</v>
      </c>
      <c r="AM32" s="55">
        <v>60</v>
      </c>
      <c r="AN32" s="150"/>
      <c r="AO32" s="75">
        <f t="shared" si="10"/>
        <v>30</v>
      </c>
      <c r="AP32" s="54">
        <v>12.83</v>
      </c>
      <c r="AQ32" s="55">
        <v>80</v>
      </c>
      <c r="AR32" s="150"/>
      <c r="AS32" s="75">
        <f t="shared" si="11"/>
        <v>30</v>
      </c>
      <c r="AT32" s="54">
        <v>20.700000000000003</v>
      </c>
      <c r="AU32" s="55">
        <v>334</v>
      </c>
      <c r="AV32" s="150">
        <v>3.5416666666666666E-2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10.6</v>
      </c>
      <c r="C33" s="63">
        <v>40</v>
      </c>
      <c r="D33" s="151"/>
      <c r="E33" s="76"/>
      <c r="F33" s="62"/>
      <c r="G33" s="63"/>
      <c r="H33" s="151"/>
      <c r="I33" s="76">
        <f t="shared" si="2"/>
        <v>31</v>
      </c>
      <c r="J33" s="62">
        <v>18.190000000000001</v>
      </c>
      <c r="K33" s="63">
        <v>106</v>
      </c>
      <c r="L33" s="151"/>
      <c r="M33" s="76"/>
      <c r="N33" s="62"/>
      <c r="O33" s="63"/>
      <c r="P33" s="151"/>
      <c r="Q33" s="76">
        <f t="shared" si="4"/>
        <v>31</v>
      </c>
      <c r="R33" s="62">
        <v>10.3</v>
      </c>
      <c r="S33" s="63">
        <v>60</v>
      </c>
      <c r="T33" s="151"/>
      <c r="U33" s="76"/>
      <c r="V33" s="62"/>
      <c r="W33" s="63"/>
      <c r="X33" s="151"/>
      <c r="Y33" s="76">
        <f t="shared" si="6"/>
        <v>31</v>
      </c>
      <c r="Z33" s="62">
        <v>20.36</v>
      </c>
      <c r="AA33" s="63">
        <v>120</v>
      </c>
      <c r="AB33" s="151"/>
      <c r="AC33" s="76">
        <f t="shared" si="7"/>
        <v>31</v>
      </c>
      <c r="AD33" s="62">
        <v>31.57</v>
      </c>
      <c r="AE33" s="63">
        <v>276</v>
      </c>
      <c r="AF33" s="151"/>
      <c r="AG33" s="76"/>
      <c r="AH33" s="62"/>
      <c r="AI33" s="63"/>
      <c r="AJ33" s="151"/>
      <c r="AK33" s="76">
        <f t="shared" si="9"/>
        <v>31</v>
      </c>
      <c r="AL33" s="62">
        <v>20.6</v>
      </c>
      <c r="AM33" s="63">
        <v>90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10.1</v>
      </c>
      <c r="AU33" s="63">
        <v>306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1.25" x14ac:dyDescent="0.2">
      <c r="A35" s="46" t="s">
        <v>93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1.25" x14ac:dyDescent="0.2">
      <c r="A36" s="49" t="s">
        <v>149</v>
      </c>
      <c r="B36" s="54">
        <f>MAX(B3:B33)</f>
        <v>29.52</v>
      </c>
      <c r="C36" s="55">
        <f>MAX(C3:C33)</f>
        <v>536</v>
      </c>
      <c r="D36" s="152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52">
        <f>MAX(H3:H33)</f>
        <v>8.3333333333333329E-2</v>
      </c>
      <c r="I36" s="67"/>
      <c r="J36" s="315">
        <f>MAX(J3:J33)</f>
        <v>103.14</v>
      </c>
      <c r="K36" s="55">
        <f>MAX(K3:K33)</f>
        <v>1595</v>
      </c>
      <c r="L36" s="152">
        <f>MAX(L3:L33)</f>
        <v>2.0833333333333332E-2</v>
      </c>
      <c r="M36" s="67"/>
      <c r="N36" s="54">
        <f>MAX(N3:N33)</f>
        <v>94.1</v>
      </c>
      <c r="O36" s="314">
        <f>MAX(O3:O33)</f>
        <v>2230</v>
      </c>
      <c r="P36" s="152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52">
        <f>MAX(T3:T33)</f>
        <v>6.25E-2</v>
      </c>
      <c r="U36" s="67"/>
      <c r="V36" s="54">
        <f>MAX(V3:V33)</f>
        <v>102.45</v>
      </c>
      <c r="W36" s="55">
        <f>MAX(W3:W33)</f>
        <v>1440</v>
      </c>
      <c r="X36" s="152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52">
        <f>MAX(AB3:AB33)</f>
        <v>9.930555555555555E-2</v>
      </c>
      <c r="AC36" s="67"/>
      <c r="AD36" s="315">
        <f>MAX(AD3:AD33)</f>
        <v>130.34</v>
      </c>
      <c r="AE36" s="314">
        <f>MAX(AE3:AE33)</f>
        <v>1503</v>
      </c>
      <c r="AF36" s="152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52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52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52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52">
        <f>MAX(AV3:AV33)</f>
        <v>0.11388888888888889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16.429615384615389</v>
      </c>
      <c r="C37" s="55">
        <f>IFERROR(AVERAGE(C3:C33),0)</f>
        <v>142.30769230769232</v>
      </c>
      <c r="D37" s="152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52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52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52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52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52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52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52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52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52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52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52">
        <f>IFERROR(AVERAGE(AV3:AV33),0)</f>
        <v>4.8726851851851848E-2</v>
      </c>
      <c r="AW37" s="67"/>
    </row>
    <row r="38" spans="1:49" s="49" customFormat="1" ht="11.25" x14ac:dyDescent="0.2">
      <c r="A38" s="49" t="s">
        <v>236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1542.3200000000002</v>
      </c>
      <c r="K39" s="51">
        <f t="shared" ref="K39:L39" si="12">SUM(C34,G34,K34)</f>
        <v>14180</v>
      </c>
      <c r="L39" s="170">
        <f t="shared" si="12"/>
        <v>134</v>
      </c>
      <c r="M39" s="168"/>
      <c r="P39" s="169"/>
      <c r="Q39" s="168"/>
      <c r="T39" s="169"/>
      <c r="U39" s="168"/>
      <c r="V39" s="50">
        <f>SUM(N34,R34,V34)</f>
        <v>2460.9250000000002</v>
      </c>
      <c r="W39" s="51">
        <f>SUM(O34,S34,W34)</f>
        <v>29670</v>
      </c>
      <c r="X39" s="170">
        <f>SUM(P34,T34,X34)</f>
        <v>176</v>
      </c>
      <c r="Y39" s="168"/>
      <c r="AB39" s="169"/>
      <c r="AC39" s="168"/>
      <c r="AF39" s="169"/>
      <c r="AG39" s="168"/>
      <c r="AH39" s="50">
        <f>SUM(Z34,AD34,AH34)</f>
        <v>2290.73</v>
      </c>
      <c r="AI39" s="51">
        <f>SUM(AA34,AE34,AI34)</f>
        <v>28386</v>
      </c>
      <c r="AJ39" s="170">
        <f>SUM(AB34,AF34,AJ34)</f>
        <v>284</v>
      </c>
      <c r="AK39" s="168"/>
      <c r="AN39" s="169"/>
      <c r="AO39" s="168"/>
      <c r="AR39" s="169"/>
      <c r="AS39" s="168"/>
      <c r="AT39" s="50">
        <f>SUM(AL34,AP34,AT34)</f>
        <v>1513.7</v>
      </c>
      <c r="AU39" s="51">
        <f>SUM(AM34,AQ34,AU34)</f>
        <v>17027</v>
      </c>
      <c r="AV39" s="170">
        <f>SUM(AN34,AR34,AV34)</f>
        <v>305.2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52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52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52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52">
        <f>IFERROR(AVERAGE(AN37,AR37,AV37),0)</f>
        <v>5.0694444444444438E-2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24.231508363325386</v>
      </c>
      <c r="C42" s="87">
        <f>AB1</f>
        <v>275.12676947871887</v>
      </c>
      <c r="D42" s="88"/>
      <c r="E42" s="176" t="s">
        <v>399</v>
      </c>
      <c r="F42" s="177">
        <f>SUM(J23:J33,N3:N33,R3:R33,V3:V33,Z3:Z33,AD3:AD33,AH3:AH23)</f>
        <v>4834.7450000000026</v>
      </c>
      <c r="G42" s="178">
        <f>SUM(K23:K33,O3:O32,S3:S33,W3:W32,AA3:AA33,AE3:AE33,AI3:AI23)</f>
        <v>59322</v>
      </c>
      <c r="H42" s="179"/>
      <c r="I42" s="179"/>
      <c r="J42" s="180">
        <f>IFERROR(F42/(F42+F43),0)</f>
        <v>0.61922979632220887</v>
      </c>
      <c r="K42" s="180">
        <f>IFERROR(G42/(G42+G43),0)</f>
        <v>0.66457546799905898</v>
      </c>
      <c r="L42" s="179"/>
      <c r="M42" s="259" t="s">
        <v>600</v>
      </c>
      <c r="N42" s="257">
        <v>55</v>
      </c>
      <c r="Y42" s="144"/>
      <c r="AK42" s="211" t="s">
        <v>478</v>
      </c>
      <c r="AL42" s="47">
        <f>MAX(B34,F34,J34,N34,R34,V34,Z34,AD34,AH34,AL34,AP34,AT34)</f>
        <v>1016.9499999999999</v>
      </c>
      <c r="AM42" s="212">
        <f>MAX(C34,G34,K34,O34,S34,W34,AA34,AE34,AI34,AM34,AQ34,AU34)</f>
        <v>13461</v>
      </c>
      <c r="AN42" s="49" t="s">
        <v>346</v>
      </c>
      <c r="AO42" s="210" t="s">
        <v>344</v>
      </c>
      <c r="AP42" s="54">
        <f>R1-'11'!R1</f>
        <v>153.92000000000004</v>
      </c>
      <c r="AQ42" s="78">
        <f>AF1-'11'!AF1</f>
        <v>1901</v>
      </c>
      <c r="AR42" s="49" t="s">
        <v>345</v>
      </c>
      <c r="AS42" s="209" t="s">
        <v>344</v>
      </c>
      <c r="AT42" s="54">
        <f>I1-'11'!I1</f>
        <v>6.3400000000000034</v>
      </c>
      <c r="AU42" s="78">
        <f>AN1-'11'!AN1</f>
        <v>30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21.390890410958907</v>
      </c>
      <c r="C43" s="87">
        <f>AU1/365</f>
        <v>244.55616438356165</v>
      </c>
      <c r="D43" s="88"/>
      <c r="E43" s="172" t="s">
        <v>400</v>
      </c>
      <c r="F43" s="173">
        <f>E1-F42</f>
        <v>2972.9299999999985</v>
      </c>
      <c r="G43" s="174">
        <f>AU1-G42</f>
        <v>29941</v>
      </c>
      <c r="H43" s="175"/>
      <c r="I43" s="175"/>
      <c r="J43" s="181">
        <f>IFERROR(F43/(F42+F43),0)</f>
        <v>0.38077020367779113</v>
      </c>
      <c r="K43" s="181">
        <f>IFERROR(G43/(G42+G43),0)</f>
        <v>0.33542453200094102</v>
      </c>
      <c r="L43" s="175"/>
      <c r="M43" s="65" t="s">
        <v>601</v>
      </c>
      <c r="N43" s="258">
        <v>8</v>
      </c>
      <c r="Y43" s="67"/>
      <c r="AK43" s="213" t="s">
        <v>481</v>
      </c>
      <c r="AL43" s="188">
        <f>IF($B$1&lt;&gt;0,$AV$35/$B1,0)</f>
        <v>0.1032747110760175</v>
      </c>
      <c r="AO43" s="209" t="s">
        <v>344</v>
      </c>
      <c r="AP43" s="54">
        <f>AV35-'11'!AV35</f>
        <v>514.40000000000009</v>
      </c>
      <c r="AQ43" s="188">
        <f>AL43-'11'!AL43</f>
        <v>4.8706928189994406E-2</v>
      </c>
      <c r="AR43" s="49" t="s">
        <v>204</v>
      </c>
      <c r="AS43" s="209" t="s">
        <v>344</v>
      </c>
      <c r="AT43" s="54">
        <f>B1-'11'!B1</f>
        <v>1655.0950000000012</v>
      </c>
      <c r="AU43" s="78">
        <f>AU1-'11'!AU1</f>
        <v>17249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68" priority="66" operator="equal">
      <formula>$R$1</formula>
    </cfRule>
    <cfRule type="cellIs" dxfId="567" priority="67" operator="equal">
      <formula>$M$1</formula>
    </cfRule>
  </conditionalFormatting>
  <conditionalFormatting sqref="C34 G34 K34 O34 S34 W34 AA34 AE34 AI34 AM34 AQ34 AU34">
    <cfRule type="cellIs" dxfId="566" priority="65" operator="equal">
      <formula>$AF$1</formula>
    </cfRule>
    <cfRule type="cellIs" dxfId="565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64" priority="62" operator="lessThan">
      <formula>0</formula>
    </cfRule>
    <cfRule type="cellIs" dxfId="563" priority="63" operator="greaterThanOrEqual">
      <formula>0</formula>
    </cfRule>
  </conditionalFormatting>
  <conditionalFormatting sqref="C38 AU42:AU43 AQ42 G38 K38 O38 S38 W38 AA38 AE38 AI38 AM38 AQ38 AU38">
    <cfRule type="cellIs" dxfId="562" priority="60" operator="lessThan">
      <formula>0</formula>
    </cfRule>
    <cfRule type="cellIs" dxfId="561" priority="61" operator="greaterThanOrEqual">
      <formula>0</formula>
    </cfRule>
  </conditionalFormatting>
  <conditionalFormatting sqref="D38">
    <cfRule type="cellIs" dxfId="560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59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58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57" priority="48" stopIfTrue="1" operator="between">
      <formula>0</formula>
      <formula>0.0416550925925926</formula>
    </cfRule>
    <cfRule type="cellIs" dxfId="556" priority="49" stopIfTrue="1" operator="between">
      <formula>0.0416666666666667</formula>
      <formula>0.0833217592592593</formula>
    </cfRule>
    <cfRule type="cellIs" dxfId="555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54" priority="36" operator="equal">
      <formula>MAX($D$36,$H$36,$L$36,$P$36,$T$36,$X$36,$AB$36,$AF$36,$AJ$36,$AN$36,$AR$36,$AV$36)</formula>
    </cfRule>
  </conditionalFormatting>
  <conditionalFormatting sqref="AP43">
    <cfRule type="cellIs" dxfId="553" priority="34" operator="lessThan">
      <formula>0</formula>
    </cfRule>
    <cfRule type="cellIs" dxfId="552" priority="35" operator="greaterThanOrEqual">
      <formula>0</formula>
    </cfRule>
  </conditionalFormatting>
  <conditionalFormatting sqref="B3:B33 F3:F33 J3:J33 N3:N33 R3:R33 V3:V33 Z3:Z33 AT3:AT33 AH3:AH33 AL3:AL33 AP3:AP33 AD3:AD33">
    <cfRule type="cellIs" dxfId="551" priority="57" stopIfTrue="1" operator="lessThan">
      <formula>50</formula>
    </cfRule>
    <cfRule type="cellIs" dxfId="550" priority="58" stopIfTrue="1" operator="greaterThanOrEqual">
      <formula>100</formula>
    </cfRule>
    <cfRule type="cellIs" dxfId="549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48" priority="54" stopIfTrue="1" operator="between">
      <formula>0</formula>
      <formula>749.99</formula>
    </cfRule>
    <cfRule type="cellIs" dxfId="547" priority="55" stopIfTrue="1" operator="greaterThanOrEqual">
      <formula>1500</formula>
    </cfRule>
    <cfRule type="cellIs" dxfId="546" priority="56" operator="greaterThanOrEqual">
      <formula>750</formula>
    </cfRule>
  </conditionalFormatting>
  <conditionalFormatting sqref="AQ43">
    <cfRule type="cellIs" dxfId="545" priority="32" stopIfTrue="1" operator="lessThan">
      <formula>0</formula>
    </cfRule>
    <cfRule type="cellIs" dxfId="544" priority="33" operator="greaterThanOrEqual">
      <formula>0</formula>
    </cfRule>
  </conditionalFormatting>
  <conditionalFormatting sqref="AL42">
    <cfRule type="cellIs" dxfId="543" priority="26" stopIfTrue="1" operator="lessThan">
      <formula>1000</formula>
    </cfRule>
    <cfRule type="cellIs" dxfId="542" priority="27" stopIfTrue="1" operator="lessThan">
      <formula>1100</formula>
    </cfRule>
    <cfRule type="cellIs" dxfId="541" priority="28" stopIfTrue="1" operator="lessThan">
      <formula>9999</formula>
    </cfRule>
  </conditionalFormatting>
  <conditionalFormatting sqref="AM42">
    <cfRule type="cellIs" dxfId="540" priority="23" stopIfTrue="1" operator="lessThan">
      <formula>10000</formula>
    </cfRule>
    <cfRule type="cellIs" dxfId="539" priority="24" stopIfTrue="1" operator="lessThan">
      <formula>13000</formula>
    </cfRule>
    <cfRule type="cellIs" dxfId="538" priority="25" stopIfTrue="1" operator="lessThan">
      <formula>99999</formula>
    </cfRule>
  </conditionalFormatting>
  <conditionalFormatting sqref="AL43">
    <cfRule type="cellIs" dxfId="537" priority="20" stopIfTrue="1" operator="lessThan">
      <formula>0.05</formula>
    </cfRule>
    <cfRule type="cellIs" dxfId="536" priority="21" stopIfTrue="1" operator="lessThan">
      <formula>0.1</formula>
    </cfRule>
    <cfRule type="cellIs" dxfId="535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7447.8700000000008</v>
      </c>
      <c r="C1" s="382"/>
      <c r="D1" s="83" t="s">
        <v>238</v>
      </c>
      <c r="E1" s="383">
        <f>AT35</f>
        <v>7159.8700000000008</v>
      </c>
      <c r="F1" s="383"/>
      <c r="G1" s="384" t="s">
        <v>152</v>
      </c>
      <c r="H1" s="384"/>
      <c r="I1" s="380">
        <f>MAX(B36,F36,J36,N36,R36,V36,Z36,AD36,AH36,AL36,AP36,AT36)</f>
        <v>133.09</v>
      </c>
      <c r="J1" s="380"/>
      <c r="K1" s="385" t="s">
        <v>159</v>
      </c>
      <c r="L1" s="385"/>
      <c r="M1" s="386">
        <f>MAX(B34,F34,J34,N34,R34,V34,Z34,AD34,AH34,AL34,AP34,AT34)</f>
        <v>919.33999999999992</v>
      </c>
      <c r="N1" s="386"/>
      <c r="O1" s="379" t="s">
        <v>190</v>
      </c>
      <c r="P1" s="379"/>
      <c r="Q1" s="379"/>
      <c r="R1" s="149">
        <f>MIN(B34,F34,J34,N34,R34,V34,Z34,AD34,AH34,AL34,AP34,AT34)</f>
        <v>235.4</v>
      </c>
      <c r="S1" s="84" t="s">
        <v>207</v>
      </c>
      <c r="T1" s="372">
        <f>IFERROR(AVERAGE(B37,F37,J37,N37,R37,V37,Z37,AD37,AH37,AL37,AP37,AT37),0)</f>
        <v>24.790436581655058</v>
      </c>
      <c r="U1" s="372"/>
      <c r="V1" s="390" t="s">
        <v>558</v>
      </c>
      <c r="W1" s="390"/>
      <c r="X1" s="390"/>
      <c r="Y1" s="390"/>
      <c r="Z1" s="390"/>
      <c r="AA1" s="85" t="s">
        <v>207</v>
      </c>
      <c r="AB1" s="381">
        <f>IFERROR(AVERAGE(C37,G37,K37,O37,S37,W37,AA37,AE37,AI37,AM37,AQ37,AU37),0)</f>
        <v>297.89439566472174</v>
      </c>
      <c r="AC1" s="381"/>
      <c r="AD1" s="371" t="s">
        <v>190</v>
      </c>
      <c r="AE1" s="371"/>
      <c r="AF1" s="374">
        <f>MIN(C34,G34,K34,O34,S34,W34,AA34,AE34,AI34,AM34,AQ34,AU34)</f>
        <v>1667</v>
      </c>
      <c r="AG1" s="374"/>
      <c r="AH1" s="375" t="s">
        <v>159</v>
      </c>
      <c r="AI1" s="375"/>
      <c r="AJ1" s="376">
        <f>MAX(C34,G34,K34,O34,S34,W34,AA34,AE34,AI34,AM34,AQ34,AU34)</f>
        <v>12660</v>
      </c>
      <c r="AK1" s="376"/>
      <c r="AL1" s="378" t="s">
        <v>153</v>
      </c>
      <c r="AM1" s="378"/>
      <c r="AN1" s="377">
        <f>MAX(C36,G36,K36,O36,S36,W36,AA36,AE36,AI36,AM36,AQ36,AU36)</f>
        <v>2480</v>
      </c>
      <c r="AO1" s="377"/>
      <c r="AP1" s="367" t="s">
        <v>361</v>
      </c>
      <c r="AQ1" s="367"/>
      <c r="AR1" s="368">
        <f>MAX(D36,H36,L36,P36,T36,X36,AB36,AF36,AJ36,AN36,AR36,AV36)</f>
        <v>8.6805555555555566E-2</v>
      </c>
      <c r="AS1" s="368"/>
      <c r="AT1" s="81" t="s">
        <v>2</v>
      </c>
      <c r="AU1" s="369">
        <f>AU35</f>
        <v>87052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2.4999999999999998E-2</v>
      </c>
      <c r="E3" s="75">
        <v>1</v>
      </c>
      <c r="F3" s="54"/>
      <c r="G3" s="55"/>
      <c r="H3" s="150"/>
      <c r="I3" s="75">
        <v>1</v>
      </c>
      <c r="J3" s="54">
        <v>12</v>
      </c>
      <c r="K3" s="55">
        <v>100</v>
      </c>
      <c r="L3" s="150"/>
      <c r="M3" s="75">
        <v>1</v>
      </c>
      <c r="N3" s="54">
        <v>27.65</v>
      </c>
      <c r="O3" s="55">
        <v>454</v>
      </c>
      <c r="P3" s="150"/>
      <c r="Q3" s="75">
        <v>1</v>
      </c>
      <c r="R3" s="54">
        <v>10.1</v>
      </c>
      <c r="S3" s="55">
        <v>306</v>
      </c>
      <c r="T3" s="150"/>
      <c r="U3" s="75">
        <v>1</v>
      </c>
      <c r="V3" s="54"/>
      <c r="W3" s="55"/>
      <c r="X3" s="150">
        <v>4.1666666666666664E-2</v>
      </c>
      <c r="Y3" s="75">
        <v>1</v>
      </c>
      <c r="Z3" s="54">
        <v>16.7</v>
      </c>
      <c r="AA3" s="55">
        <v>325</v>
      </c>
      <c r="AB3" s="150"/>
      <c r="AC3" s="75">
        <v>1</v>
      </c>
      <c r="AD3" s="54">
        <v>17.649999999999999</v>
      </c>
      <c r="AE3" s="55">
        <v>85</v>
      </c>
      <c r="AF3" s="150"/>
      <c r="AG3" s="75">
        <v>1</v>
      </c>
      <c r="AH3" s="54">
        <v>20.82</v>
      </c>
      <c r="AI3" s="55">
        <v>132</v>
      </c>
      <c r="AJ3" s="150"/>
      <c r="AK3" s="75">
        <v>1</v>
      </c>
      <c r="AL3" s="54">
        <v>14.04</v>
      </c>
      <c r="AM3" s="55">
        <v>397</v>
      </c>
      <c r="AN3" s="150"/>
      <c r="AO3" s="75">
        <v>1</v>
      </c>
      <c r="AP3" s="54">
        <v>42.269999999999996</v>
      </c>
      <c r="AQ3" s="55">
        <v>584</v>
      </c>
      <c r="AR3" s="150"/>
      <c r="AS3" s="75">
        <v>1</v>
      </c>
      <c r="AT3" s="54">
        <v>21.490000000000002</v>
      </c>
      <c r="AU3" s="55">
        <v>121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15</v>
      </c>
      <c r="C4" s="55">
        <v>50</v>
      </c>
      <c r="D4" s="150"/>
      <c r="E4" s="75">
        <f t="shared" ref="E4:E30" si="1">E3+1</f>
        <v>2</v>
      </c>
      <c r="F4" s="54"/>
      <c r="G4" s="55"/>
      <c r="H4" s="150"/>
      <c r="I4" s="75">
        <f t="shared" ref="I4:I33" si="2">I3+1</f>
        <v>2</v>
      </c>
      <c r="J4" s="54">
        <v>42.599999999999994</v>
      </c>
      <c r="K4" s="55">
        <v>321</v>
      </c>
      <c r="L4" s="150"/>
      <c r="M4" s="75">
        <f t="shared" ref="M4:M32" si="3">M3+1</f>
        <v>2</v>
      </c>
      <c r="N4" s="54"/>
      <c r="O4" s="55"/>
      <c r="P4" s="150"/>
      <c r="Q4" s="75">
        <f t="shared" ref="Q4:Q33" si="4">Q3+1</f>
        <v>2</v>
      </c>
      <c r="R4" s="54">
        <v>10</v>
      </c>
      <c r="S4" s="55">
        <v>100</v>
      </c>
      <c r="T4" s="150"/>
      <c r="U4" s="75">
        <f t="shared" ref="U4:U32" si="5">U3+1</f>
        <v>2</v>
      </c>
      <c r="V4" s="54">
        <v>60.399999999999991</v>
      </c>
      <c r="W4" s="55">
        <v>1130</v>
      </c>
      <c r="X4" s="150"/>
      <c r="Y4" s="75">
        <f t="shared" ref="Y4:Y33" si="6">Y3+1</f>
        <v>2</v>
      </c>
      <c r="Z4" s="54">
        <v>20.82</v>
      </c>
      <c r="AA4" s="55">
        <v>473</v>
      </c>
      <c r="AB4" s="150"/>
      <c r="AC4" s="75">
        <f t="shared" ref="AC4:AC33" si="7">AC3+1</f>
        <v>2</v>
      </c>
      <c r="AD4" s="54">
        <v>20.5</v>
      </c>
      <c r="AE4" s="55">
        <v>245</v>
      </c>
      <c r="AF4" s="150"/>
      <c r="AG4" s="75">
        <f>AG3+1</f>
        <v>2</v>
      </c>
      <c r="AH4" s="54">
        <v>56.58</v>
      </c>
      <c r="AI4" s="55">
        <v>710</v>
      </c>
      <c r="AJ4" s="150"/>
      <c r="AK4" s="75">
        <f>AK3+1</f>
        <v>2</v>
      </c>
      <c r="AL4" s="54">
        <v>15.9</v>
      </c>
      <c r="AM4" s="55">
        <v>359</v>
      </c>
      <c r="AN4" s="150"/>
      <c r="AO4" s="75">
        <f>AO3+1</f>
        <v>2</v>
      </c>
      <c r="AP4" s="54">
        <v>30.6</v>
      </c>
      <c r="AQ4" s="55">
        <v>140</v>
      </c>
      <c r="AR4" s="150"/>
      <c r="AS4" s="75">
        <f>AS3+1</f>
        <v>2</v>
      </c>
      <c r="AT4" s="54">
        <v>16.2</v>
      </c>
      <c r="AU4" s="55">
        <v>262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15.86</v>
      </c>
      <c r="C5" s="55">
        <v>30</v>
      </c>
      <c r="D5" s="150"/>
      <c r="E5" s="75">
        <f t="shared" si="1"/>
        <v>3</v>
      </c>
      <c r="F5" s="54"/>
      <c r="G5" s="55"/>
      <c r="H5" s="150"/>
      <c r="I5" s="75">
        <f t="shared" si="2"/>
        <v>3</v>
      </c>
      <c r="J5" s="54">
        <v>62.3</v>
      </c>
      <c r="K5" s="55">
        <v>520</v>
      </c>
      <c r="L5" s="150"/>
      <c r="M5" s="75">
        <f t="shared" si="3"/>
        <v>3</v>
      </c>
      <c r="N5" s="54">
        <v>15.64</v>
      </c>
      <c r="O5" s="55">
        <v>20</v>
      </c>
      <c r="P5" s="150"/>
      <c r="Q5" s="75">
        <f t="shared" si="4"/>
        <v>3</v>
      </c>
      <c r="R5" s="54">
        <v>16.940000000000001</v>
      </c>
      <c r="S5" s="55">
        <v>365</v>
      </c>
      <c r="T5" s="150"/>
      <c r="U5" s="75">
        <f t="shared" si="5"/>
        <v>3</v>
      </c>
      <c r="V5" s="54">
        <v>19</v>
      </c>
      <c r="W5" s="55">
        <v>172</v>
      </c>
      <c r="X5" s="150"/>
      <c r="Y5" s="75">
        <f t="shared" si="6"/>
        <v>3</v>
      </c>
      <c r="Z5" s="54">
        <v>5.8</v>
      </c>
      <c r="AA5" s="55">
        <v>23</v>
      </c>
      <c r="AB5" s="150"/>
      <c r="AC5" s="75">
        <f t="shared" si="7"/>
        <v>3</v>
      </c>
      <c r="AD5" s="54">
        <v>44.76</v>
      </c>
      <c r="AE5" s="55">
        <v>523</v>
      </c>
      <c r="AF5" s="150"/>
      <c r="AG5" s="75">
        <f t="shared" ref="AG5:AG32" si="8">AG4+1</f>
        <v>3</v>
      </c>
      <c r="AH5" s="54">
        <v>47.2</v>
      </c>
      <c r="AI5" s="55">
        <v>1310</v>
      </c>
      <c r="AJ5" s="150"/>
      <c r="AK5" s="75">
        <f t="shared" ref="AK5:AK33" si="9">AK4+1</f>
        <v>3</v>
      </c>
      <c r="AL5" s="54">
        <v>65.8</v>
      </c>
      <c r="AM5" s="55">
        <v>835</v>
      </c>
      <c r="AN5" s="150"/>
      <c r="AO5" s="75">
        <f t="shared" ref="AO5:AO32" si="10">AO4+1</f>
        <v>3</v>
      </c>
      <c r="AP5" s="54">
        <v>26.259999999999998</v>
      </c>
      <c r="AQ5" s="55">
        <v>143</v>
      </c>
      <c r="AR5" s="150"/>
      <c r="AS5" s="75">
        <f t="shared" ref="AS5:AS33" si="11">AS4+1</f>
        <v>3</v>
      </c>
      <c r="AT5" s="54">
        <v>15.71</v>
      </c>
      <c r="AU5" s="55">
        <v>105</v>
      </c>
      <c r="AV5" s="150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/>
      <c r="G6" s="55"/>
      <c r="H6" s="150"/>
      <c r="I6" s="75">
        <f t="shared" si="2"/>
        <v>4</v>
      </c>
      <c r="J6" s="54">
        <v>14.2</v>
      </c>
      <c r="K6" s="55">
        <v>165</v>
      </c>
      <c r="L6" s="150"/>
      <c r="M6" s="75">
        <f t="shared" si="3"/>
        <v>4</v>
      </c>
      <c r="N6" s="54">
        <v>18.8</v>
      </c>
      <c r="O6" s="55">
        <v>120</v>
      </c>
      <c r="P6" s="150"/>
      <c r="Q6" s="75">
        <f t="shared" si="4"/>
        <v>4</v>
      </c>
      <c r="R6" s="54"/>
      <c r="S6" s="55"/>
      <c r="T6" s="150">
        <v>2.8472222222222222E-2</v>
      </c>
      <c r="U6" s="75">
        <f t="shared" si="5"/>
        <v>4</v>
      </c>
      <c r="V6" s="54">
        <v>21</v>
      </c>
      <c r="W6" s="55">
        <v>150</v>
      </c>
      <c r="X6" s="150"/>
      <c r="Y6" s="75">
        <f t="shared" si="6"/>
        <v>4</v>
      </c>
      <c r="Z6" s="54"/>
      <c r="AA6" s="55"/>
      <c r="AB6" s="150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50"/>
      <c r="AG6" s="75">
        <f t="shared" si="8"/>
        <v>4</v>
      </c>
      <c r="AH6" s="54">
        <v>85.45</v>
      </c>
      <c r="AI6" s="55">
        <v>1110</v>
      </c>
      <c r="AJ6" s="150"/>
      <c r="AK6" s="75">
        <f t="shared" si="9"/>
        <v>4</v>
      </c>
      <c r="AL6" s="54">
        <v>6.7</v>
      </c>
      <c r="AM6" s="55">
        <v>38</v>
      </c>
      <c r="AN6" s="150"/>
      <c r="AO6" s="75">
        <f t="shared" si="10"/>
        <v>4</v>
      </c>
      <c r="AP6" s="54">
        <v>11.889999999999999</v>
      </c>
      <c r="AQ6" s="55">
        <v>44</v>
      </c>
      <c r="AR6" s="150"/>
      <c r="AS6" s="75">
        <f t="shared" si="11"/>
        <v>4</v>
      </c>
      <c r="AT6" s="54">
        <v>15.370000000000001</v>
      </c>
      <c r="AU6" s="55">
        <v>64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30.700000000000003</v>
      </c>
      <c r="C7" s="55">
        <v>389</v>
      </c>
      <c r="D7" s="150"/>
      <c r="E7" s="75">
        <f t="shared" si="1"/>
        <v>5</v>
      </c>
      <c r="F7" s="54">
        <v>12</v>
      </c>
      <c r="G7" s="55">
        <v>80</v>
      </c>
      <c r="H7" s="150"/>
      <c r="I7" s="75">
        <f t="shared" si="2"/>
        <v>5</v>
      </c>
      <c r="J7" s="54">
        <v>24.17</v>
      </c>
      <c r="K7" s="55">
        <v>93</v>
      </c>
      <c r="L7" s="150"/>
      <c r="M7" s="75">
        <f t="shared" si="3"/>
        <v>5</v>
      </c>
      <c r="N7" s="54">
        <v>21.97</v>
      </c>
      <c r="O7" s="55">
        <v>191</v>
      </c>
      <c r="P7" s="150"/>
      <c r="Q7" s="75">
        <f t="shared" si="4"/>
        <v>5</v>
      </c>
      <c r="R7" s="54">
        <v>46.580000000000005</v>
      </c>
      <c r="S7" s="55">
        <v>731</v>
      </c>
      <c r="T7" s="150"/>
      <c r="U7" s="75">
        <f t="shared" si="5"/>
        <v>5</v>
      </c>
      <c r="V7" s="54">
        <v>18.399999999999999</v>
      </c>
      <c r="W7" s="55">
        <v>380</v>
      </c>
      <c r="X7" s="150"/>
      <c r="Y7" s="75">
        <f t="shared" si="6"/>
        <v>5</v>
      </c>
      <c r="Z7" s="54">
        <v>15.71</v>
      </c>
      <c r="AA7" s="55">
        <v>345</v>
      </c>
      <c r="AB7" s="150"/>
      <c r="AC7" s="75">
        <f t="shared" si="7"/>
        <v>5</v>
      </c>
      <c r="AD7" s="54">
        <v>14.6</v>
      </c>
      <c r="AE7" s="55">
        <v>30</v>
      </c>
      <c r="AF7" s="150"/>
      <c r="AG7" s="75">
        <f t="shared" si="8"/>
        <v>5</v>
      </c>
      <c r="AH7" s="54">
        <v>53.300000000000004</v>
      </c>
      <c r="AI7" s="55">
        <v>640</v>
      </c>
      <c r="AJ7" s="150"/>
      <c r="AK7" s="75">
        <f t="shared" si="9"/>
        <v>5</v>
      </c>
      <c r="AL7" s="54">
        <v>38.700000000000003</v>
      </c>
      <c r="AM7" s="55">
        <v>90</v>
      </c>
      <c r="AN7" s="150"/>
      <c r="AO7" s="75">
        <f t="shared" si="10"/>
        <v>5</v>
      </c>
      <c r="AP7" s="54">
        <v>15.91</v>
      </c>
      <c r="AQ7" s="55">
        <v>104</v>
      </c>
      <c r="AR7" s="150"/>
      <c r="AS7" s="75">
        <f t="shared" si="11"/>
        <v>5</v>
      </c>
      <c r="AT7" s="54">
        <v>10.4</v>
      </c>
      <c r="AU7" s="55">
        <v>50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37.299999999999997</v>
      </c>
      <c r="C8" s="55">
        <v>270</v>
      </c>
      <c r="D8" s="150"/>
      <c r="E8" s="75">
        <f t="shared" si="1"/>
        <v>6</v>
      </c>
      <c r="F8" s="54"/>
      <c r="G8" s="55"/>
      <c r="H8" s="150"/>
      <c r="I8" s="75">
        <f t="shared" si="2"/>
        <v>6</v>
      </c>
      <c r="J8" s="54">
        <v>27.72</v>
      </c>
      <c r="K8" s="55">
        <v>484</v>
      </c>
      <c r="L8" s="150"/>
      <c r="M8" s="75">
        <f t="shared" si="3"/>
        <v>6</v>
      </c>
      <c r="N8" s="54"/>
      <c r="O8" s="55"/>
      <c r="P8" s="150"/>
      <c r="Q8" s="75">
        <f t="shared" si="4"/>
        <v>6</v>
      </c>
      <c r="R8" s="54">
        <v>11.5</v>
      </c>
      <c r="S8" s="55">
        <v>75</v>
      </c>
      <c r="T8" s="150"/>
      <c r="U8" s="75">
        <f t="shared" si="5"/>
        <v>6</v>
      </c>
      <c r="V8" s="54">
        <v>15.86</v>
      </c>
      <c r="W8" s="55">
        <v>30</v>
      </c>
      <c r="X8" s="150"/>
      <c r="Y8" s="75">
        <f t="shared" si="6"/>
        <v>6</v>
      </c>
      <c r="Z8" s="54">
        <v>100.98</v>
      </c>
      <c r="AA8" s="55">
        <v>1141</v>
      </c>
      <c r="AB8" s="150"/>
      <c r="AC8" s="75">
        <f t="shared" si="7"/>
        <v>6</v>
      </c>
      <c r="AD8" s="54">
        <v>23.9</v>
      </c>
      <c r="AE8" s="55">
        <v>325</v>
      </c>
      <c r="AF8" s="150"/>
      <c r="AG8" s="75">
        <f t="shared" si="8"/>
        <v>6</v>
      </c>
      <c r="AH8" s="54">
        <v>51</v>
      </c>
      <c r="AI8" s="55">
        <v>875</v>
      </c>
      <c r="AJ8" s="150"/>
      <c r="AK8" s="75">
        <f t="shared" si="9"/>
        <v>6</v>
      </c>
      <c r="AL8" s="54">
        <v>37.400000000000006</v>
      </c>
      <c r="AM8" s="55">
        <v>173</v>
      </c>
      <c r="AN8" s="150">
        <v>3.5416666666666666E-2</v>
      </c>
      <c r="AO8" s="75">
        <f t="shared" si="10"/>
        <v>6</v>
      </c>
      <c r="AP8" s="54">
        <v>15.27</v>
      </c>
      <c r="AQ8" s="55">
        <v>245</v>
      </c>
      <c r="AR8" s="150"/>
      <c r="AS8" s="75">
        <f t="shared" si="11"/>
        <v>6</v>
      </c>
      <c r="AT8" s="54">
        <v>15.1</v>
      </c>
      <c r="AU8" s="55">
        <v>55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14.5</v>
      </c>
      <c r="C9" s="55">
        <v>10</v>
      </c>
      <c r="D9" s="150"/>
      <c r="E9" s="75">
        <f t="shared" si="1"/>
        <v>7</v>
      </c>
      <c r="F9" s="54"/>
      <c r="G9" s="55"/>
      <c r="H9" s="150">
        <v>4.1666666666666664E-2</v>
      </c>
      <c r="I9" s="75">
        <f t="shared" si="2"/>
        <v>7</v>
      </c>
      <c r="J9" s="54">
        <v>17.64</v>
      </c>
      <c r="K9" s="55">
        <v>58</v>
      </c>
      <c r="L9" s="150"/>
      <c r="M9" s="75">
        <f t="shared" si="3"/>
        <v>7</v>
      </c>
      <c r="N9" s="54"/>
      <c r="O9" s="55"/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>
        <v>15.27</v>
      </c>
      <c r="W9" s="55">
        <v>520</v>
      </c>
      <c r="X9" s="150"/>
      <c r="Y9" s="75">
        <f t="shared" si="6"/>
        <v>7</v>
      </c>
      <c r="Z9" s="54">
        <v>63.5</v>
      </c>
      <c r="AA9" s="55">
        <v>648</v>
      </c>
      <c r="AB9" s="150"/>
      <c r="AC9" s="75">
        <f t="shared" si="7"/>
        <v>7</v>
      </c>
      <c r="AD9" s="54">
        <v>31.85</v>
      </c>
      <c r="AE9" s="55">
        <v>438</v>
      </c>
      <c r="AF9" s="150"/>
      <c r="AG9" s="75">
        <f t="shared" si="8"/>
        <v>7</v>
      </c>
      <c r="AH9" s="54">
        <v>14.2</v>
      </c>
      <c r="AI9" s="55">
        <v>40</v>
      </c>
      <c r="AJ9" s="150"/>
      <c r="AK9" s="75">
        <f t="shared" si="9"/>
        <v>7</v>
      </c>
      <c r="AL9" s="54">
        <v>26.78</v>
      </c>
      <c r="AM9" s="55">
        <v>425</v>
      </c>
      <c r="AN9" s="150"/>
      <c r="AO9" s="75">
        <f t="shared" si="10"/>
        <v>7</v>
      </c>
      <c r="AP9" s="54">
        <v>13.58</v>
      </c>
      <c r="AQ9" s="55">
        <v>58</v>
      </c>
      <c r="AR9" s="150"/>
      <c r="AS9" s="75">
        <f t="shared" si="11"/>
        <v>7</v>
      </c>
      <c r="AT9" s="54">
        <v>24.66</v>
      </c>
      <c r="AU9" s="55">
        <v>25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10.1</v>
      </c>
      <c r="C10" s="55">
        <v>65</v>
      </c>
      <c r="D10" s="150"/>
      <c r="E10" s="75">
        <f t="shared" si="1"/>
        <v>8</v>
      </c>
      <c r="F10" s="54">
        <v>12.7</v>
      </c>
      <c r="G10" s="55">
        <v>90</v>
      </c>
      <c r="H10" s="150"/>
      <c r="I10" s="75">
        <f t="shared" si="2"/>
        <v>8</v>
      </c>
      <c r="J10" s="54">
        <v>14.3</v>
      </c>
      <c r="K10" s="55">
        <v>120</v>
      </c>
      <c r="L10" s="150"/>
      <c r="M10" s="75">
        <f t="shared" si="3"/>
        <v>8</v>
      </c>
      <c r="N10" s="54">
        <v>18.8</v>
      </c>
      <c r="O10" s="55">
        <v>75</v>
      </c>
      <c r="P10" s="150"/>
      <c r="Q10" s="75">
        <f t="shared" si="4"/>
        <v>8</v>
      </c>
      <c r="R10" s="54"/>
      <c r="S10" s="55"/>
      <c r="T10" s="150">
        <v>2.2222222222222223E-2</v>
      </c>
      <c r="U10" s="75">
        <f t="shared" si="5"/>
        <v>8</v>
      </c>
      <c r="V10" s="54"/>
      <c r="W10" s="55"/>
      <c r="X10" s="150"/>
      <c r="Y10" s="75">
        <f t="shared" si="6"/>
        <v>8</v>
      </c>
      <c r="Z10" s="54">
        <v>19</v>
      </c>
      <c r="AA10" s="55">
        <v>425</v>
      </c>
      <c r="AB10" s="150"/>
      <c r="AC10" s="75">
        <f t="shared" si="7"/>
        <v>8</v>
      </c>
      <c r="AD10" s="54">
        <v>11.5</v>
      </c>
      <c r="AE10" s="55">
        <v>53</v>
      </c>
      <c r="AF10" s="150"/>
      <c r="AG10" s="75">
        <f t="shared" si="8"/>
        <v>8</v>
      </c>
      <c r="AH10" s="54">
        <v>21.9</v>
      </c>
      <c r="AI10" s="49">
        <v>80</v>
      </c>
      <c r="AJ10" s="150"/>
      <c r="AK10" s="75">
        <f t="shared" si="9"/>
        <v>8</v>
      </c>
      <c r="AL10" s="54">
        <v>14.91</v>
      </c>
      <c r="AM10" s="55">
        <v>97</v>
      </c>
      <c r="AN10" s="150"/>
      <c r="AO10" s="75">
        <f t="shared" si="10"/>
        <v>8</v>
      </c>
      <c r="AP10" s="54">
        <v>18.7</v>
      </c>
      <c r="AQ10" s="55">
        <v>60</v>
      </c>
      <c r="AR10" s="150"/>
      <c r="AS10" s="75">
        <f t="shared" si="11"/>
        <v>8</v>
      </c>
      <c r="AT10" s="54">
        <v>60.21</v>
      </c>
      <c r="AU10" s="55">
        <v>510</v>
      </c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>
        <v>11.7</v>
      </c>
      <c r="G11" s="55">
        <v>100</v>
      </c>
      <c r="H11" s="150">
        <v>2.4999999999999998E-2</v>
      </c>
      <c r="I11" s="75">
        <f t="shared" si="2"/>
        <v>9</v>
      </c>
      <c r="J11" s="54">
        <v>28.4</v>
      </c>
      <c r="K11" s="55">
        <v>215</v>
      </c>
      <c r="L11" s="150"/>
      <c r="M11" s="75">
        <f t="shared" si="3"/>
        <v>9</v>
      </c>
      <c r="N11" s="54"/>
      <c r="O11" s="55"/>
      <c r="P11" s="150"/>
      <c r="Q11" s="75">
        <f t="shared" si="4"/>
        <v>9</v>
      </c>
      <c r="R11" s="54"/>
      <c r="S11" s="55"/>
      <c r="T11" s="150"/>
      <c r="U11" s="75">
        <f t="shared" si="5"/>
        <v>9</v>
      </c>
      <c r="V11" s="54">
        <v>96.21</v>
      </c>
      <c r="W11" s="55">
        <v>1232</v>
      </c>
      <c r="X11" s="150"/>
      <c r="Y11" s="75">
        <f t="shared" si="6"/>
        <v>9</v>
      </c>
      <c r="Z11" s="54">
        <v>11.4</v>
      </c>
      <c r="AA11" s="55">
        <v>68</v>
      </c>
      <c r="AB11" s="150"/>
      <c r="AC11" s="75">
        <f t="shared" si="7"/>
        <v>9</v>
      </c>
      <c r="AD11" s="54">
        <v>15.71</v>
      </c>
      <c r="AE11" s="55">
        <v>345</v>
      </c>
      <c r="AF11" s="150"/>
      <c r="AG11" s="75">
        <f t="shared" si="8"/>
        <v>9</v>
      </c>
      <c r="AH11" s="54">
        <v>39.47</v>
      </c>
      <c r="AI11" s="55">
        <v>244</v>
      </c>
      <c r="AJ11" s="150"/>
      <c r="AK11" s="75">
        <f t="shared" si="9"/>
        <v>9</v>
      </c>
      <c r="AL11" s="54">
        <v>19.5</v>
      </c>
      <c r="AM11" s="55">
        <v>450</v>
      </c>
      <c r="AN11" s="150"/>
      <c r="AO11" s="75">
        <f t="shared" si="10"/>
        <v>9</v>
      </c>
      <c r="AP11" s="54">
        <v>28.91</v>
      </c>
      <c r="AQ11" s="55">
        <v>163</v>
      </c>
      <c r="AR11" s="150"/>
      <c r="AS11" s="75">
        <f t="shared" si="11"/>
        <v>9</v>
      </c>
      <c r="AT11" s="54">
        <v>8.6100000000000012</v>
      </c>
      <c r="AU11" s="55">
        <v>35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11.1</v>
      </c>
      <c r="C12" s="55">
        <v>65</v>
      </c>
      <c r="D12" s="150"/>
      <c r="E12" s="75">
        <f t="shared" si="1"/>
        <v>10</v>
      </c>
      <c r="F12" s="54">
        <v>36.299999999999997</v>
      </c>
      <c r="G12" s="55">
        <v>446</v>
      </c>
      <c r="H12" s="150"/>
      <c r="I12" s="75">
        <f t="shared" si="2"/>
        <v>10</v>
      </c>
      <c r="J12" s="54">
        <v>32.72</v>
      </c>
      <c r="K12" s="55">
        <v>88</v>
      </c>
      <c r="L12" s="150"/>
      <c r="M12" s="75">
        <f t="shared" si="3"/>
        <v>10</v>
      </c>
      <c r="N12" s="54">
        <v>22.3</v>
      </c>
      <c r="O12" s="55">
        <v>75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/>
      <c r="W12" s="55"/>
      <c r="X12" s="150"/>
      <c r="Y12" s="75">
        <f t="shared" si="6"/>
        <v>10</v>
      </c>
      <c r="Z12" s="54">
        <v>19</v>
      </c>
      <c r="AA12" s="55">
        <v>425</v>
      </c>
      <c r="AB12" s="150"/>
      <c r="AC12" s="75">
        <f t="shared" si="7"/>
        <v>10</v>
      </c>
      <c r="AD12" s="54">
        <v>54.06</v>
      </c>
      <c r="AE12" s="55">
        <v>600</v>
      </c>
      <c r="AF12" s="150"/>
      <c r="AG12" s="75">
        <f t="shared" si="8"/>
        <v>10</v>
      </c>
      <c r="AH12" s="54">
        <v>31.63</v>
      </c>
      <c r="AI12" s="49">
        <v>605</v>
      </c>
      <c r="AJ12" s="150"/>
      <c r="AK12" s="75">
        <f t="shared" si="9"/>
        <v>10</v>
      </c>
      <c r="AL12" s="54">
        <v>6.5500000000000007</v>
      </c>
      <c r="AM12" s="55">
        <v>38</v>
      </c>
      <c r="AN12" s="150"/>
      <c r="AO12" s="75">
        <f t="shared" si="10"/>
        <v>10</v>
      </c>
      <c r="AP12" s="54">
        <v>11</v>
      </c>
      <c r="AQ12" s="55">
        <v>25</v>
      </c>
      <c r="AR12" s="150"/>
      <c r="AS12" s="75">
        <f t="shared" si="11"/>
        <v>10</v>
      </c>
      <c r="AT12" s="54">
        <v>14.72</v>
      </c>
      <c r="AU12" s="55">
        <v>70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10.199999999999999</v>
      </c>
      <c r="C13" s="55">
        <v>65</v>
      </c>
      <c r="D13" s="150"/>
      <c r="E13" s="75">
        <f t="shared" si="1"/>
        <v>11</v>
      </c>
      <c r="F13" s="54">
        <v>12</v>
      </c>
      <c r="G13" s="55">
        <v>60</v>
      </c>
      <c r="H13" s="150"/>
      <c r="I13" s="75">
        <f t="shared" si="2"/>
        <v>11</v>
      </c>
      <c r="J13" s="54">
        <v>10</v>
      </c>
      <c r="K13" s="55">
        <v>100</v>
      </c>
      <c r="L13" s="150"/>
      <c r="M13" s="75">
        <f t="shared" si="3"/>
        <v>11</v>
      </c>
      <c r="N13" s="54"/>
      <c r="O13" s="55"/>
      <c r="P13" s="150"/>
      <c r="Q13" s="75">
        <f t="shared" si="4"/>
        <v>11</v>
      </c>
      <c r="R13" s="54"/>
      <c r="S13" s="55"/>
      <c r="T13" s="150"/>
      <c r="U13" s="75">
        <f t="shared" si="5"/>
        <v>11</v>
      </c>
      <c r="V13" s="54">
        <v>15.3</v>
      </c>
      <c r="W13" s="55">
        <v>265</v>
      </c>
      <c r="X13" s="150"/>
      <c r="Y13" s="75">
        <f t="shared" si="6"/>
        <v>11</v>
      </c>
      <c r="Z13" s="54">
        <v>21.3</v>
      </c>
      <c r="AA13" s="55">
        <v>365</v>
      </c>
      <c r="AB13" s="150"/>
      <c r="AC13" s="75">
        <f t="shared" si="7"/>
        <v>11</v>
      </c>
      <c r="AD13" s="54">
        <v>38.700000000000003</v>
      </c>
      <c r="AE13" s="55">
        <v>587</v>
      </c>
      <c r="AF13" s="150"/>
      <c r="AG13" s="75">
        <f t="shared" si="8"/>
        <v>11</v>
      </c>
      <c r="AH13" s="54">
        <v>41.1</v>
      </c>
      <c r="AI13" s="55">
        <v>120</v>
      </c>
      <c r="AJ13" s="150"/>
      <c r="AK13" s="75">
        <f t="shared" si="9"/>
        <v>11</v>
      </c>
      <c r="AL13" s="54">
        <v>12.5</v>
      </c>
      <c r="AM13" s="55">
        <v>35</v>
      </c>
      <c r="AN13" s="150"/>
      <c r="AO13" s="75">
        <f t="shared" si="10"/>
        <v>11</v>
      </c>
      <c r="AP13" s="54">
        <v>13.299999999999999</v>
      </c>
      <c r="AQ13" s="55">
        <v>52</v>
      </c>
      <c r="AR13" s="150"/>
      <c r="AS13" s="75">
        <f t="shared" si="11"/>
        <v>11</v>
      </c>
      <c r="AT13" s="54">
        <v>20</v>
      </c>
      <c r="AU13" s="55">
        <v>120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/>
      <c r="G14" s="55"/>
      <c r="H14" s="150"/>
      <c r="I14" s="75">
        <f t="shared" si="2"/>
        <v>12</v>
      </c>
      <c r="J14" s="54"/>
      <c r="K14" s="55"/>
      <c r="L14" s="150">
        <v>2.0833333333333332E-2</v>
      </c>
      <c r="M14" s="75">
        <f t="shared" si="3"/>
        <v>12</v>
      </c>
      <c r="N14" s="54">
        <v>21.42</v>
      </c>
      <c r="O14" s="55">
        <v>166</v>
      </c>
      <c r="P14" s="150"/>
      <c r="Q14" s="75">
        <f t="shared" si="4"/>
        <v>12</v>
      </c>
      <c r="R14" s="54"/>
      <c r="S14" s="55"/>
      <c r="T14" s="150"/>
      <c r="U14" s="75">
        <f t="shared" si="5"/>
        <v>12</v>
      </c>
      <c r="V14" s="54">
        <v>22.29</v>
      </c>
      <c r="W14" s="55">
        <v>400</v>
      </c>
      <c r="X14" s="150"/>
      <c r="Y14" s="75">
        <f t="shared" si="6"/>
        <v>12</v>
      </c>
      <c r="Z14" s="54">
        <v>15.33</v>
      </c>
      <c r="AA14" s="55">
        <v>392</v>
      </c>
      <c r="AB14" s="150"/>
      <c r="AC14" s="75">
        <f t="shared" si="7"/>
        <v>12</v>
      </c>
      <c r="AD14" s="54">
        <v>11</v>
      </c>
      <c r="AE14" s="78">
        <v>30</v>
      </c>
      <c r="AF14" s="150"/>
      <c r="AG14" s="75">
        <f t="shared" si="8"/>
        <v>12</v>
      </c>
      <c r="AH14" s="54">
        <v>7.8</v>
      </c>
      <c r="AI14" s="55">
        <v>5</v>
      </c>
      <c r="AJ14" s="150"/>
      <c r="AK14" s="75">
        <f t="shared" si="9"/>
        <v>12</v>
      </c>
      <c r="AL14" s="54">
        <v>9.86</v>
      </c>
      <c r="AM14" s="55">
        <v>58</v>
      </c>
      <c r="AN14" s="150"/>
      <c r="AO14" s="75">
        <f t="shared" si="10"/>
        <v>12</v>
      </c>
      <c r="AP14" s="54">
        <v>15.71</v>
      </c>
      <c r="AQ14" s="55">
        <v>345</v>
      </c>
      <c r="AR14" s="150"/>
      <c r="AS14" s="75">
        <f t="shared" si="11"/>
        <v>12</v>
      </c>
      <c r="AT14" s="54">
        <v>8.98</v>
      </c>
      <c r="AU14" s="55">
        <v>37</v>
      </c>
      <c r="AV14" s="150"/>
      <c r="AW14" s="67"/>
    </row>
    <row r="15" spans="1:49" s="49" customFormat="1" ht="11.25" x14ac:dyDescent="0.2">
      <c r="A15" s="73">
        <f t="shared" si="0"/>
        <v>13</v>
      </c>
      <c r="B15" s="54">
        <v>19</v>
      </c>
      <c r="C15" s="55">
        <v>400</v>
      </c>
      <c r="D15" s="150"/>
      <c r="E15" s="75">
        <f t="shared" si="1"/>
        <v>13</v>
      </c>
      <c r="F15" s="54">
        <v>17.600000000000001</v>
      </c>
      <c r="G15" s="55">
        <v>189</v>
      </c>
      <c r="H15" s="150"/>
      <c r="I15" s="75">
        <f t="shared" si="2"/>
        <v>13</v>
      </c>
      <c r="J15" s="54"/>
      <c r="K15" s="55"/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/>
      <c r="S15" s="55"/>
      <c r="T15" s="150"/>
      <c r="U15" s="75">
        <f t="shared" si="5"/>
        <v>13</v>
      </c>
      <c r="V15" s="54">
        <v>10.7</v>
      </c>
      <c r="W15" s="55">
        <v>75</v>
      </c>
      <c r="X15" s="150"/>
      <c r="Y15" s="75">
        <f t="shared" si="6"/>
        <v>13</v>
      </c>
      <c r="Z15" s="54">
        <v>85.6</v>
      </c>
      <c r="AA15" s="55">
        <v>2480</v>
      </c>
      <c r="AB15" s="150"/>
      <c r="AC15" s="75">
        <f t="shared" si="7"/>
        <v>13</v>
      </c>
      <c r="AD15" s="54">
        <v>13.9</v>
      </c>
      <c r="AE15" s="55">
        <v>285</v>
      </c>
      <c r="AF15" s="150"/>
      <c r="AG15" s="75">
        <f t="shared" si="8"/>
        <v>13</v>
      </c>
      <c r="AH15" s="54">
        <v>12.120000000000001</v>
      </c>
      <c r="AI15" s="55">
        <v>60</v>
      </c>
      <c r="AJ15" s="150"/>
      <c r="AK15" s="75">
        <f t="shared" si="9"/>
        <v>13</v>
      </c>
      <c r="AL15" s="54">
        <v>35.809999999999995</v>
      </c>
      <c r="AM15" s="55">
        <v>300</v>
      </c>
      <c r="AN15" s="150"/>
      <c r="AO15" s="75">
        <f t="shared" si="10"/>
        <v>13</v>
      </c>
      <c r="AP15" s="54">
        <v>12.93</v>
      </c>
      <c r="AQ15" s="55">
        <v>54</v>
      </c>
      <c r="AR15" s="150"/>
      <c r="AS15" s="75">
        <f t="shared" si="11"/>
        <v>13</v>
      </c>
      <c r="AT15" s="54"/>
      <c r="AU15" s="55"/>
      <c r="AV15" s="150"/>
      <c r="AW15" s="67"/>
    </row>
    <row r="16" spans="1:49" s="49" customFormat="1" ht="11.25" x14ac:dyDescent="0.2">
      <c r="A16" s="73">
        <f t="shared" si="0"/>
        <v>14</v>
      </c>
      <c r="B16" s="54">
        <v>20</v>
      </c>
      <c r="C16" s="55">
        <v>600</v>
      </c>
      <c r="D16" s="150"/>
      <c r="E16" s="75">
        <f t="shared" si="1"/>
        <v>14</v>
      </c>
      <c r="F16" s="54">
        <v>11.9</v>
      </c>
      <c r="G16" s="55">
        <v>63</v>
      </c>
      <c r="H16" s="150"/>
      <c r="I16" s="75">
        <f t="shared" si="2"/>
        <v>14</v>
      </c>
      <c r="J16" s="54">
        <v>11.6</v>
      </c>
      <c r="K16" s="55">
        <v>30</v>
      </c>
      <c r="L16" s="150"/>
      <c r="M16" s="75">
        <f t="shared" si="3"/>
        <v>14</v>
      </c>
      <c r="N16" s="54">
        <v>82.41</v>
      </c>
      <c r="O16" s="55">
        <v>1128</v>
      </c>
      <c r="P16" s="150"/>
      <c r="Q16" s="75">
        <f t="shared" si="4"/>
        <v>14</v>
      </c>
      <c r="R16" s="54"/>
      <c r="T16" s="150"/>
      <c r="U16" s="75">
        <f t="shared" si="5"/>
        <v>14</v>
      </c>
      <c r="V16" s="54">
        <v>14.94</v>
      </c>
      <c r="W16" s="55">
        <v>350</v>
      </c>
      <c r="X16" s="150"/>
      <c r="Y16" s="75">
        <f t="shared" si="6"/>
        <v>14</v>
      </c>
      <c r="Z16" s="54">
        <v>12.2</v>
      </c>
      <c r="AA16" s="55">
        <v>68</v>
      </c>
      <c r="AB16" s="150"/>
      <c r="AC16" s="75">
        <f t="shared" si="7"/>
        <v>14</v>
      </c>
      <c r="AD16" s="54">
        <v>14.76</v>
      </c>
      <c r="AE16" s="55">
        <v>75</v>
      </c>
      <c r="AF16" s="150"/>
      <c r="AG16" s="75">
        <f t="shared" si="8"/>
        <v>14</v>
      </c>
      <c r="AH16" s="54">
        <v>27.23</v>
      </c>
      <c r="AI16" s="55">
        <v>601</v>
      </c>
      <c r="AJ16" s="150"/>
      <c r="AK16" s="75">
        <f t="shared" si="9"/>
        <v>14</v>
      </c>
      <c r="AL16" s="54">
        <v>14.86</v>
      </c>
      <c r="AM16" s="55">
        <v>245</v>
      </c>
      <c r="AN16" s="150"/>
      <c r="AO16" s="75">
        <f t="shared" si="10"/>
        <v>14</v>
      </c>
      <c r="AP16" s="54">
        <v>14.24</v>
      </c>
      <c r="AQ16" s="55">
        <v>160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21</v>
      </c>
      <c r="C17" s="55">
        <v>1020</v>
      </c>
      <c r="D17" s="150"/>
      <c r="E17" s="75">
        <f t="shared" si="1"/>
        <v>15</v>
      </c>
      <c r="F17" s="54"/>
      <c r="G17" s="55"/>
      <c r="H17" s="150"/>
      <c r="I17" s="75">
        <f t="shared" si="2"/>
        <v>15</v>
      </c>
      <c r="J17" s="54">
        <v>19.3</v>
      </c>
      <c r="K17" s="55">
        <v>120</v>
      </c>
      <c r="L17" s="150"/>
      <c r="M17" s="75">
        <f t="shared" si="3"/>
        <v>15</v>
      </c>
      <c r="N17" s="54">
        <v>85.45</v>
      </c>
      <c r="O17" s="55">
        <v>1110</v>
      </c>
      <c r="P17" s="150"/>
      <c r="Q17" s="75">
        <f t="shared" si="4"/>
        <v>15</v>
      </c>
      <c r="R17" s="54"/>
      <c r="T17" s="150"/>
      <c r="U17" s="75">
        <f t="shared" si="5"/>
        <v>15</v>
      </c>
      <c r="V17" s="54">
        <v>92.42</v>
      </c>
      <c r="W17" s="55">
        <v>1300</v>
      </c>
      <c r="X17" s="150"/>
      <c r="Y17" s="75">
        <f t="shared" si="6"/>
        <v>15</v>
      </c>
      <c r="Z17" s="54">
        <v>20.57</v>
      </c>
      <c r="AA17" s="55">
        <v>430</v>
      </c>
      <c r="AB17" s="150"/>
      <c r="AC17" s="75">
        <f t="shared" si="7"/>
        <v>15</v>
      </c>
      <c r="AD17" s="54">
        <v>84.98</v>
      </c>
      <c r="AE17" s="55">
        <v>983</v>
      </c>
      <c r="AF17" s="150"/>
      <c r="AG17" s="75">
        <f t="shared" si="8"/>
        <v>15</v>
      </c>
      <c r="AH17" s="54">
        <v>18.600000000000001</v>
      </c>
      <c r="AI17" s="55">
        <v>95</v>
      </c>
      <c r="AJ17" s="150"/>
      <c r="AK17" s="75">
        <f t="shared" si="9"/>
        <v>15</v>
      </c>
      <c r="AL17" s="54">
        <v>17.82</v>
      </c>
      <c r="AM17" s="55">
        <v>130</v>
      </c>
      <c r="AN17" s="150"/>
      <c r="AO17" s="75">
        <f t="shared" si="10"/>
        <v>15</v>
      </c>
      <c r="AP17" s="54">
        <v>21.07</v>
      </c>
      <c r="AQ17" s="55">
        <v>20</v>
      </c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27</v>
      </c>
      <c r="C18" s="55">
        <v>710</v>
      </c>
      <c r="D18" s="150"/>
      <c r="E18" s="75">
        <f t="shared" si="1"/>
        <v>16</v>
      </c>
      <c r="F18" s="54">
        <v>38.9</v>
      </c>
      <c r="G18" s="55">
        <v>196</v>
      </c>
      <c r="H18" s="150"/>
      <c r="I18" s="75">
        <f t="shared" si="2"/>
        <v>16</v>
      </c>
      <c r="J18" s="54"/>
      <c r="K18" s="55"/>
      <c r="L18" s="150"/>
      <c r="M18" s="75">
        <f t="shared" si="3"/>
        <v>16</v>
      </c>
      <c r="N18" s="54">
        <v>11.8</v>
      </c>
      <c r="O18" s="55">
        <v>63</v>
      </c>
      <c r="P18" s="150"/>
      <c r="Q18" s="75">
        <f t="shared" si="4"/>
        <v>16</v>
      </c>
      <c r="R18" s="54"/>
      <c r="S18" s="55"/>
      <c r="T18" s="150"/>
      <c r="U18" s="75">
        <f t="shared" si="5"/>
        <v>16</v>
      </c>
      <c r="V18" s="54">
        <v>72.099999999999994</v>
      </c>
      <c r="W18" s="55">
        <v>745</v>
      </c>
      <c r="X18" s="150"/>
      <c r="Y18" s="75">
        <f t="shared" si="6"/>
        <v>16</v>
      </c>
      <c r="Z18" s="54">
        <v>23.5</v>
      </c>
      <c r="AA18" s="55">
        <v>490</v>
      </c>
      <c r="AB18" s="150"/>
      <c r="AC18" s="75">
        <f t="shared" si="7"/>
        <v>16</v>
      </c>
      <c r="AD18" s="54">
        <v>21.46</v>
      </c>
      <c r="AE18" s="55">
        <v>118</v>
      </c>
      <c r="AF18" s="150"/>
      <c r="AG18" s="75">
        <f t="shared" si="8"/>
        <v>16</v>
      </c>
      <c r="AH18" s="54">
        <v>12.120000000000001</v>
      </c>
      <c r="AI18" s="55">
        <v>60</v>
      </c>
      <c r="AJ18" s="150"/>
      <c r="AK18" s="75">
        <f t="shared" si="9"/>
        <v>16</v>
      </c>
      <c r="AL18" s="54">
        <v>15.309999999999999</v>
      </c>
      <c r="AM18" s="55">
        <v>110</v>
      </c>
      <c r="AN18" s="150"/>
      <c r="AO18" s="75">
        <f t="shared" si="10"/>
        <v>16</v>
      </c>
      <c r="AP18" s="54">
        <v>51.019999999999996</v>
      </c>
      <c r="AQ18" s="55">
        <v>136</v>
      </c>
      <c r="AR18" s="150"/>
      <c r="AS18" s="75">
        <f t="shared" si="11"/>
        <v>16</v>
      </c>
      <c r="AT18" s="54"/>
      <c r="AU18" s="55"/>
      <c r="AV18" s="150"/>
      <c r="AW18" s="67"/>
    </row>
    <row r="19" spans="1:49" s="49" customFormat="1" ht="11.25" x14ac:dyDescent="0.2">
      <c r="A19" s="73">
        <f t="shared" si="0"/>
        <v>17</v>
      </c>
      <c r="B19" s="54">
        <v>20</v>
      </c>
      <c r="C19" s="55">
        <v>510</v>
      </c>
      <c r="D19" s="150"/>
      <c r="E19" s="75">
        <f t="shared" si="1"/>
        <v>17</v>
      </c>
      <c r="F19" s="54">
        <v>37.4</v>
      </c>
      <c r="G19" s="55">
        <v>150</v>
      </c>
      <c r="H19" s="150"/>
      <c r="I19" s="75">
        <f t="shared" si="2"/>
        <v>17</v>
      </c>
      <c r="J19" s="54"/>
      <c r="K19" s="55"/>
      <c r="L19" s="150"/>
      <c r="M19" s="75">
        <f t="shared" si="3"/>
        <v>17</v>
      </c>
      <c r="N19" s="54">
        <v>19.77</v>
      </c>
      <c r="O19" s="55">
        <v>434</v>
      </c>
      <c r="P19" s="150"/>
      <c r="Q19" s="75">
        <f t="shared" si="4"/>
        <v>17</v>
      </c>
      <c r="R19" s="54"/>
      <c r="S19" s="55"/>
      <c r="T19" s="150"/>
      <c r="U19" s="75">
        <f t="shared" si="5"/>
        <v>17</v>
      </c>
      <c r="V19" s="54">
        <v>39.299999999999997</v>
      </c>
      <c r="W19" s="55">
        <v>473</v>
      </c>
      <c r="X19" s="150"/>
      <c r="Y19" s="75">
        <f t="shared" si="6"/>
        <v>17</v>
      </c>
      <c r="Z19" s="54">
        <v>11.44</v>
      </c>
      <c r="AA19" s="55">
        <v>50</v>
      </c>
      <c r="AB19" s="150"/>
      <c r="AC19" s="75">
        <f t="shared" si="7"/>
        <v>17</v>
      </c>
      <c r="AD19" s="54">
        <v>29.18</v>
      </c>
      <c r="AE19" s="55">
        <v>445</v>
      </c>
      <c r="AF19" s="150"/>
      <c r="AG19" s="75">
        <f t="shared" si="8"/>
        <v>17</v>
      </c>
      <c r="AH19" s="54">
        <v>16.73</v>
      </c>
      <c r="AI19" s="55">
        <v>107</v>
      </c>
      <c r="AJ19" s="150"/>
      <c r="AK19" s="75">
        <f t="shared" si="9"/>
        <v>17</v>
      </c>
      <c r="AL19" s="54">
        <v>11.14</v>
      </c>
      <c r="AM19" s="55">
        <v>59</v>
      </c>
      <c r="AN19" s="150"/>
      <c r="AO19" s="75">
        <f t="shared" si="10"/>
        <v>17</v>
      </c>
      <c r="AP19" s="54">
        <v>11.39</v>
      </c>
      <c r="AQ19" s="55">
        <v>67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20</v>
      </c>
      <c r="C20" s="55">
        <v>630</v>
      </c>
      <c r="D20" s="150"/>
      <c r="E20" s="75">
        <f t="shared" si="1"/>
        <v>18</v>
      </c>
      <c r="F20" s="54">
        <v>18.2</v>
      </c>
      <c r="G20" s="55">
        <v>152</v>
      </c>
      <c r="H20" s="150"/>
      <c r="I20" s="75">
        <f t="shared" si="2"/>
        <v>18</v>
      </c>
      <c r="J20" s="54"/>
      <c r="K20" s="55"/>
      <c r="L20" s="150"/>
      <c r="M20" s="75">
        <f t="shared" si="3"/>
        <v>18</v>
      </c>
      <c r="N20" s="54">
        <v>12.19</v>
      </c>
      <c r="O20" s="55">
        <v>440</v>
      </c>
      <c r="P20" s="150"/>
      <c r="Q20" s="75">
        <f t="shared" si="4"/>
        <v>18</v>
      </c>
      <c r="R20" s="54"/>
      <c r="S20" s="55"/>
      <c r="T20" s="150"/>
      <c r="U20" s="75">
        <f t="shared" si="5"/>
        <v>18</v>
      </c>
      <c r="V20" s="54">
        <v>24.9</v>
      </c>
      <c r="W20" s="55">
        <v>636</v>
      </c>
      <c r="X20" s="150"/>
      <c r="Y20" s="75">
        <f t="shared" si="6"/>
        <v>18</v>
      </c>
      <c r="Z20" s="54">
        <v>14.8</v>
      </c>
      <c r="AA20" s="55">
        <v>330</v>
      </c>
      <c r="AB20" s="150"/>
      <c r="AC20" s="75">
        <f t="shared" si="7"/>
        <v>18</v>
      </c>
      <c r="AD20" s="54">
        <v>49.43</v>
      </c>
      <c r="AE20" s="55">
        <v>588</v>
      </c>
      <c r="AF20" s="150"/>
      <c r="AG20" s="75">
        <f t="shared" si="8"/>
        <v>18</v>
      </c>
      <c r="AH20" s="54">
        <v>14.58</v>
      </c>
      <c r="AI20" s="55">
        <v>45</v>
      </c>
      <c r="AJ20" s="150"/>
      <c r="AK20" s="75">
        <f t="shared" si="9"/>
        <v>18</v>
      </c>
      <c r="AL20" s="54">
        <v>19.77</v>
      </c>
      <c r="AM20" s="55">
        <v>434</v>
      </c>
      <c r="AN20" s="150"/>
      <c r="AO20" s="75">
        <f t="shared" si="10"/>
        <v>18</v>
      </c>
      <c r="AP20" s="54">
        <v>12</v>
      </c>
      <c r="AQ20" s="55">
        <v>162</v>
      </c>
      <c r="AR20" s="150"/>
      <c r="AS20" s="75">
        <f t="shared" si="11"/>
        <v>18</v>
      </c>
      <c r="AT20" s="54"/>
      <c r="AU20" s="55"/>
      <c r="AV20" s="150"/>
      <c r="AW20" s="67"/>
    </row>
    <row r="21" spans="1:49" s="49" customFormat="1" ht="11.25" x14ac:dyDescent="0.2">
      <c r="A21" s="73">
        <f t="shared" si="0"/>
        <v>19</v>
      </c>
      <c r="B21" s="54">
        <v>13</v>
      </c>
      <c r="C21" s="55">
        <v>670</v>
      </c>
      <c r="D21" s="150"/>
      <c r="E21" s="75">
        <f t="shared" si="1"/>
        <v>19</v>
      </c>
      <c r="F21" s="54"/>
      <c r="G21" s="55"/>
      <c r="H21" s="150"/>
      <c r="I21" s="75">
        <f t="shared" si="2"/>
        <v>19</v>
      </c>
      <c r="J21" s="54"/>
      <c r="K21" s="55"/>
      <c r="L21" s="150"/>
      <c r="M21" s="75">
        <f t="shared" si="3"/>
        <v>19</v>
      </c>
      <c r="N21" s="54">
        <v>17</v>
      </c>
      <c r="O21" s="55">
        <v>78</v>
      </c>
      <c r="P21" s="150"/>
      <c r="Q21" s="75">
        <f t="shared" si="4"/>
        <v>19</v>
      </c>
      <c r="R21" s="54">
        <v>109.87</v>
      </c>
      <c r="S21" s="55">
        <v>1755</v>
      </c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21.48</v>
      </c>
      <c r="AA21" s="55">
        <v>465</v>
      </c>
      <c r="AB21" s="150"/>
      <c r="AC21" s="75">
        <f t="shared" si="7"/>
        <v>19</v>
      </c>
      <c r="AD21" s="54">
        <v>19.77</v>
      </c>
      <c r="AE21" s="55">
        <v>434</v>
      </c>
      <c r="AF21" s="150"/>
      <c r="AG21" s="75">
        <f t="shared" si="8"/>
        <v>19</v>
      </c>
      <c r="AH21" s="54">
        <v>12.41</v>
      </c>
      <c r="AI21" s="55">
        <v>331</v>
      </c>
      <c r="AJ21" s="150"/>
      <c r="AK21" s="75">
        <f t="shared" si="9"/>
        <v>19</v>
      </c>
      <c r="AL21" s="54">
        <v>56.16</v>
      </c>
      <c r="AM21" s="55">
        <v>320</v>
      </c>
      <c r="AN21" s="150"/>
      <c r="AO21" s="75">
        <f t="shared" si="10"/>
        <v>19</v>
      </c>
      <c r="AP21" s="54">
        <v>5.2</v>
      </c>
      <c r="AQ21" s="55">
        <v>10</v>
      </c>
      <c r="AR21" s="150"/>
      <c r="AS21" s="75">
        <f t="shared" si="11"/>
        <v>19</v>
      </c>
      <c r="AT21" s="54">
        <v>20.5</v>
      </c>
      <c r="AU21" s="55">
        <v>35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25.2</v>
      </c>
      <c r="C22" s="55">
        <v>750</v>
      </c>
      <c r="D22" s="150"/>
      <c r="E22" s="75">
        <f t="shared" si="1"/>
        <v>20</v>
      </c>
      <c r="F22" s="54"/>
      <c r="G22" s="55"/>
      <c r="H22" s="150"/>
      <c r="I22" s="75">
        <f t="shared" si="2"/>
        <v>20</v>
      </c>
      <c r="J22" s="54"/>
      <c r="K22" s="55"/>
      <c r="L22" s="150"/>
      <c r="M22" s="75">
        <f t="shared" si="3"/>
        <v>20</v>
      </c>
      <c r="N22" s="54">
        <v>14.8</v>
      </c>
      <c r="O22" s="55">
        <v>330</v>
      </c>
      <c r="P22" s="150"/>
      <c r="Q22" s="75">
        <f t="shared" si="4"/>
        <v>20</v>
      </c>
      <c r="R22" s="54">
        <v>14.8</v>
      </c>
      <c r="S22" s="55">
        <v>60</v>
      </c>
      <c r="T22" s="150"/>
      <c r="U22" s="75">
        <f t="shared" si="5"/>
        <v>20</v>
      </c>
      <c r="V22" s="54"/>
      <c r="W22" s="55"/>
      <c r="X22" s="150"/>
      <c r="Y22" s="75">
        <f t="shared" si="6"/>
        <v>20</v>
      </c>
      <c r="Z22" s="54">
        <v>36.17</v>
      </c>
      <c r="AA22" s="55">
        <v>428</v>
      </c>
      <c r="AB22" s="150"/>
      <c r="AC22" s="75">
        <f t="shared" si="7"/>
        <v>20</v>
      </c>
      <c r="AD22" s="54">
        <v>18.150000000000002</v>
      </c>
      <c r="AE22" s="55">
        <v>98</v>
      </c>
      <c r="AF22" s="150"/>
      <c r="AG22" s="75">
        <f t="shared" si="8"/>
        <v>20</v>
      </c>
      <c r="AH22" s="54">
        <v>15.1</v>
      </c>
      <c r="AI22" s="55">
        <v>78</v>
      </c>
      <c r="AJ22" s="150"/>
      <c r="AK22" s="75">
        <f t="shared" si="9"/>
        <v>20</v>
      </c>
      <c r="AL22" s="54">
        <v>45.8</v>
      </c>
      <c r="AM22" s="55">
        <v>130</v>
      </c>
      <c r="AN22" s="150"/>
      <c r="AO22" s="75">
        <f t="shared" si="10"/>
        <v>20</v>
      </c>
      <c r="AP22" s="54">
        <v>12.3</v>
      </c>
      <c r="AQ22" s="55">
        <v>35</v>
      </c>
      <c r="AR22" s="150"/>
      <c r="AS22" s="75">
        <f t="shared" si="11"/>
        <v>20</v>
      </c>
      <c r="AT22" s="54">
        <v>29.4</v>
      </c>
      <c r="AU22" s="55">
        <v>444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19</v>
      </c>
      <c r="C23" s="55">
        <v>550</v>
      </c>
      <c r="D23" s="150"/>
      <c r="E23" s="75">
        <f t="shared" si="1"/>
        <v>21</v>
      </c>
      <c r="F23" s="54">
        <v>11.9</v>
      </c>
      <c r="G23" s="55">
        <v>63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43.39</v>
      </c>
      <c r="O23" s="55">
        <v>608</v>
      </c>
      <c r="P23" s="150"/>
      <c r="Q23" s="75">
        <f t="shared" si="4"/>
        <v>21</v>
      </c>
      <c r="R23" s="54"/>
      <c r="S23" s="55"/>
      <c r="T23" s="150"/>
      <c r="U23" s="75">
        <f t="shared" si="5"/>
        <v>21</v>
      </c>
      <c r="V23" s="54">
        <v>24.9</v>
      </c>
      <c r="W23" s="55">
        <v>636</v>
      </c>
      <c r="X23" s="150"/>
      <c r="Y23" s="75">
        <f t="shared" si="6"/>
        <v>21</v>
      </c>
      <c r="Z23" s="54">
        <v>19.239999999999998</v>
      </c>
      <c r="AA23" s="55">
        <v>155</v>
      </c>
      <c r="AB23" s="150"/>
      <c r="AC23" s="75">
        <f t="shared" si="7"/>
        <v>21</v>
      </c>
      <c r="AD23" s="54">
        <v>17.079999999999998</v>
      </c>
      <c r="AE23" s="55">
        <v>369</v>
      </c>
      <c r="AF23" s="150"/>
      <c r="AG23" s="75">
        <f t="shared" si="8"/>
        <v>21</v>
      </c>
      <c r="AH23" s="54">
        <v>31.32</v>
      </c>
      <c r="AI23" s="55">
        <v>176</v>
      </c>
      <c r="AJ23" s="150"/>
      <c r="AK23" s="75">
        <f t="shared" si="9"/>
        <v>21</v>
      </c>
      <c r="AL23" s="54">
        <v>27.06</v>
      </c>
      <c r="AM23" s="55">
        <v>160</v>
      </c>
      <c r="AN23" s="150"/>
      <c r="AO23" s="75">
        <f t="shared" si="10"/>
        <v>21</v>
      </c>
      <c r="AP23" s="54">
        <v>15.1</v>
      </c>
      <c r="AQ23" s="55">
        <v>50</v>
      </c>
      <c r="AR23" s="150"/>
      <c r="AS23" s="75">
        <f t="shared" si="11"/>
        <v>21</v>
      </c>
      <c r="AT23" s="54">
        <v>15</v>
      </c>
      <c r="AU23" s="55">
        <v>100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24.9</v>
      </c>
      <c r="C24" s="55">
        <v>630</v>
      </c>
      <c r="D24" s="150"/>
      <c r="E24" s="75">
        <f t="shared" si="1"/>
        <v>22</v>
      </c>
      <c r="F24" s="54">
        <v>14.8</v>
      </c>
      <c r="G24" s="55">
        <v>78</v>
      </c>
      <c r="H24" s="150"/>
      <c r="I24" s="75">
        <f t="shared" si="2"/>
        <v>22</v>
      </c>
      <c r="J24" s="54"/>
      <c r="K24" s="55"/>
      <c r="L24" s="150"/>
      <c r="M24" s="75">
        <f t="shared" si="3"/>
        <v>22</v>
      </c>
      <c r="N24" s="54">
        <v>12.2</v>
      </c>
      <c r="O24" s="55">
        <v>162</v>
      </c>
      <c r="P24" s="150"/>
      <c r="Q24" s="75">
        <f t="shared" si="4"/>
        <v>22</v>
      </c>
      <c r="R24" s="54">
        <v>12.6</v>
      </c>
      <c r="S24" s="49">
        <v>80</v>
      </c>
      <c r="T24" s="150"/>
      <c r="U24" s="75">
        <f t="shared" si="5"/>
        <v>22</v>
      </c>
      <c r="V24" s="54">
        <v>30.7</v>
      </c>
      <c r="W24" s="55">
        <v>320</v>
      </c>
      <c r="X24" s="150"/>
      <c r="Y24" s="75">
        <f t="shared" si="6"/>
        <v>22</v>
      </c>
      <c r="Z24" s="54">
        <v>18.150000000000002</v>
      </c>
      <c r="AA24" s="55">
        <v>98</v>
      </c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34.19</v>
      </c>
      <c r="AI24" s="55">
        <v>463</v>
      </c>
      <c r="AJ24" s="150"/>
      <c r="AK24" s="75">
        <f t="shared" si="9"/>
        <v>22</v>
      </c>
      <c r="AL24" s="54">
        <v>21.48</v>
      </c>
      <c r="AM24" s="55">
        <v>465</v>
      </c>
      <c r="AN24" s="150"/>
      <c r="AO24" s="75">
        <f t="shared" si="10"/>
        <v>22</v>
      </c>
      <c r="AP24" s="54">
        <v>12.48</v>
      </c>
      <c r="AQ24" s="55">
        <v>346</v>
      </c>
      <c r="AR24" s="150"/>
      <c r="AS24" s="75">
        <f t="shared" si="11"/>
        <v>22</v>
      </c>
      <c r="AT24" s="54">
        <v>26.700000000000003</v>
      </c>
      <c r="AU24" s="55">
        <v>517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21</v>
      </c>
      <c r="C25" s="55">
        <v>540</v>
      </c>
      <c r="D25" s="150"/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33.299999999999997</v>
      </c>
      <c r="K25" s="55">
        <v>731</v>
      </c>
      <c r="L25" s="150"/>
      <c r="M25" s="75">
        <f t="shared" si="3"/>
        <v>23</v>
      </c>
      <c r="N25" s="54">
        <v>31</v>
      </c>
      <c r="O25" s="55">
        <v>275</v>
      </c>
      <c r="P25" s="150"/>
      <c r="Q25" s="75">
        <f t="shared" si="4"/>
        <v>23</v>
      </c>
      <c r="R25" s="54"/>
      <c r="S25" s="55"/>
      <c r="T25" s="150"/>
      <c r="U25" s="75">
        <f t="shared" si="5"/>
        <v>23</v>
      </c>
      <c r="V25" s="54">
        <v>133.09</v>
      </c>
      <c r="W25" s="55">
        <v>1445</v>
      </c>
      <c r="X25" s="150"/>
      <c r="Y25" s="75">
        <f t="shared" si="6"/>
        <v>23</v>
      </c>
      <c r="Z25" s="54">
        <v>12.15</v>
      </c>
      <c r="AA25" s="55">
        <v>145</v>
      </c>
      <c r="AB25" s="150"/>
      <c r="AC25" s="75">
        <f t="shared" si="7"/>
        <v>23</v>
      </c>
      <c r="AD25" s="54">
        <v>11.45</v>
      </c>
      <c r="AE25" s="55">
        <v>55</v>
      </c>
      <c r="AF25" s="150"/>
      <c r="AG25" s="75">
        <f t="shared" si="8"/>
        <v>23</v>
      </c>
      <c r="AH25" s="54">
        <v>14.8</v>
      </c>
      <c r="AI25" s="55">
        <v>330</v>
      </c>
      <c r="AJ25" s="150"/>
      <c r="AK25" s="75">
        <f t="shared" si="9"/>
        <v>23</v>
      </c>
      <c r="AL25" s="54">
        <v>14.309999999999999</v>
      </c>
      <c r="AM25" s="55">
        <v>79</v>
      </c>
      <c r="AN25" s="150"/>
      <c r="AO25" s="75">
        <f t="shared" si="10"/>
        <v>23</v>
      </c>
      <c r="AP25" s="54">
        <v>33.11</v>
      </c>
      <c r="AQ25" s="55">
        <v>521</v>
      </c>
      <c r="AR25" s="150"/>
      <c r="AS25" s="75">
        <f t="shared" si="11"/>
        <v>23</v>
      </c>
      <c r="AT25" s="54">
        <v>11.28</v>
      </c>
      <c r="AU25" s="55">
        <v>42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16.399999999999999</v>
      </c>
      <c r="C26" s="55">
        <v>600</v>
      </c>
      <c r="D26" s="150"/>
      <c r="E26" s="75">
        <f t="shared" si="1"/>
        <v>24</v>
      </c>
      <c r="F26" s="54"/>
      <c r="G26" s="55"/>
      <c r="H26" s="150">
        <v>4.2361111111111106E-2</v>
      </c>
      <c r="I26" s="75">
        <f t="shared" si="2"/>
        <v>24</v>
      </c>
      <c r="J26" s="54">
        <v>24.4</v>
      </c>
      <c r="K26" s="55">
        <v>766</v>
      </c>
      <c r="L26" s="150"/>
      <c r="M26" s="75">
        <f t="shared" si="3"/>
        <v>24</v>
      </c>
      <c r="N26" s="54">
        <v>20.3</v>
      </c>
      <c r="O26" s="55">
        <v>360</v>
      </c>
      <c r="P26" s="150"/>
      <c r="Q26" s="75">
        <f t="shared" si="4"/>
        <v>24</v>
      </c>
      <c r="R26" s="54">
        <v>22.8</v>
      </c>
      <c r="S26" s="55">
        <v>120</v>
      </c>
      <c r="T26" s="150"/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21.48</v>
      </c>
      <c r="AA26" s="55">
        <v>465</v>
      </c>
      <c r="AB26" s="150"/>
      <c r="AC26" s="75">
        <f t="shared" si="7"/>
        <v>24</v>
      </c>
      <c r="AD26" s="54"/>
      <c r="AE26" s="55"/>
      <c r="AF26" s="150"/>
      <c r="AG26" s="75">
        <f t="shared" si="8"/>
        <v>24</v>
      </c>
      <c r="AH26" s="54">
        <v>17.8</v>
      </c>
      <c r="AI26" s="55">
        <v>360</v>
      </c>
      <c r="AJ26" s="150"/>
      <c r="AK26" s="75">
        <f t="shared" si="9"/>
        <v>24</v>
      </c>
      <c r="AL26" s="54">
        <v>13.19</v>
      </c>
      <c r="AM26" s="55">
        <v>73</v>
      </c>
      <c r="AN26" s="150"/>
      <c r="AO26" s="75">
        <f t="shared" si="10"/>
        <v>24</v>
      </c>
      <c r="AP26" s="54">
        <v>36.799999999999997</v>
      </c>
      <c r="AQ26" s="55">
        <v>488</v>
      </c>
      <c r="AR26" s="150"/>
      <c r="AS26" s="75">
        <f t="shared" si="11"/>
        <v>24</v>
      </c>
      <c r="AT26" s="54">
        <v>26.700000000000003</v>
      </c>
      <c r="AU26" s="55">
        <v>517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5</v>
      </c>
      <c r="C27" s="55">
        <v>270</v>
      </c>
      <c r="D27" s="150"/>
      <c r="E27" s="75">
        <f t="shared" si="1"/>
        <v>25</v>
      </c>
      <c r="F27" s="54"/>
      <c r="G27" s="55"/>
      <c r="H27" s="150"/>
      <c r="I27" s="75">
        <f t="shared" si="2"/>
        <v>25</v>
      </c>
      <c r="J27" s="54">
        <v>10.8</v>
      </c>
      <c r="K27" s="55">
        <v>15</v>
      </c>
      <c r="L27" s="150"/>
      <c r="M27" s="75">
        <f t="shared" si="3"/>
        <v>25</v>
      </c>
      <c r="N27" s="54">
        <v>15.3</v>
      </c>
      <c r="O27" s="55">
        <v>78</v>
      </c>
      <c r="P27" s="150"/>
      <c r="Q27" s="75">
        <f t="shared" si="4"/>
        <v>25</v>
      </c>
      <c r="R27" s="54">
        <v>42</v>
      </c>
      <c r="S27" s="55">
        <v>355</v>
      </c>
      <c r="T27" s="150"/>
      <c r="U27" s="75">
        <f t="shared" si="5"/>
        <v>25</v>
      </c>
      <c r="V27" s="54"/>
      <c r="W27" s="55"/>
      <c r="X27" s="150"/>
      <c r="Y27" s="75">
        <f t="shared" si="6"/>
        <v>25</v>
      </c>
      <c r="Z27" s="54">
        <v>19.059999999999999</v>
      </c>
      <c r="AA27" s="55">
        <v>178</v>
      </c>
      <c r="AB27" s="150"/>
      <c r="AC27" s="75">
        <f t="shared" si="7"/>
        <v>25</v>
      </c>
      <c r="AD27" s="54">
        <v>31.6</v>
      </c>
      <c r="AE27" s="55">
        <v>108</v>
      </c>
      <c r="AF27" s="150"/>
      <c r="AG27" s="75">
        <f t="shared" si="8"/>
        <v>25</v>
      </c>
      <c r="AH27" s="54">
        <v>19</v>
      </c>
      <c r="AI27" s="55">
        <v>380</v>
      </c>
      <c r="AJ27" s="150"/>
      <c r="AK27" s="75">
        <f t="shared" si="9"/>
        <v>25</v>
      </c>
      <c r="AL27" s="54">
        <v>17.82</v>
      </c>
      <c r="AM27" s="55">
        <v>130</v>
      </c>
      <c r="AN27" s="150"/>
      <c r="AO27" s="75">
        <f t="shared" si="10"/>
        <v>25</v>
      </c>
      <c r="AP27" s="54">
        <v>12.28</v>
      </c>
      <c r="AQ27" s="55">
        <v>66</v>
      </c>
      <c r="AR27" s="150"/>
      <c r="AS27" s="75">
        <f t="shared" si="11"/>
        <v>25</v>
      </c>
      <c r="AT27" s="54">
        <v>7.2</v>
      </c>
      <c r="AU27" s="55">
        <v>30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/>
      <c r="G28" s="55"/>
      <c r="H28" s="150"/>
      <c r="I28" s="75">
        <f t="shared" si="2"/>
        <v>26</v>
      </c>
      <c r="J28" s="54">
        <v>17.2</v>
      </c>
      <c r="K28" s="55">
        <v>60</v>
      </c>
      <c r="L28" s="150"/>
      <c r="M28" s="75">
        <f t="shared" si="3"/>
        <v>26</v>
      </c>
      <c r="N28" s="54">
        <v>19.7</v>
      </c>
      <c r="O28" s="55">
        <v>54</v>
      </c>
      <c r="P28" s="150"/>
      <c r="Q28" s="75">
        <f t="shared" si="4"/>
        <v>26</v>
      </c>
      <c r="R28" s="54"/>
      <c r="S28" s="55"/>
      <c r="T28" s="150">
        <v>6.5277777777777782E-2</v>
      </c>
      <c r="U28" s="75">
        <f t="shared" si="5"/>
        <v>26</v>
      </c>
      <c r="V28" s="54">
        <v>47.6</v>
      </c>
      <c r="W28" s="55">
        <v>505</v>
      </c>
      <c r="X28" s="150"/>
      <c r="Y28" s="75">
        <f t="shared" si="6"/>
        <v>26</v>
      </c>
      <c r="Z28" s="54">
        <v>22</v>
      </c>
      <c r="AA28" s="55">
        <v>410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>
        <v>14.559999999999999</v>
      </c>
      <c r="AI28" s="55">
        <v>67</v>
      </c>
      <c r="AJ28" s="150"/>
      <c r="AK28" s="75">
        <f t="shared" si="9"/>
        <v>26</v>
      </c>
      <c r="AL28" s="54">
        <v>52.160000000000004</v>
      </c>
      <c r="AM28" s="55">
        <v>1080</v>
      </c>
      <c r="AN28" s="150"/>
      <c r="AO28" s="75">
        <f t="shared" si="10"/>
        <v>26</v>
      </c>
      <c r="AP28" s="54">
        <v>10.4</v>
      </c>
      <c r="AQ28" s="55">
        <v>15</v>
      </c>
      <c r="AR28" s="150"/>
      <c r="AS28" s="75">
        <f t="shared" si="11"/>
        <v>26</v>
      </c>
      <c r="AT28" s="54">
        <v>11</v>
      </c>
      <c r="AU28" s="55">
        <v>25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10.5</v>
      </c>
      <c r="C29" s="55">
        <v>80</v>
      </c>
      <c r="D29" s="150"/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19</v>
      </c>
      <c r="K29" s="55">
        <v>77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>
        <v>22.5</v>
      </c>
      <c r="S29" s="55">
        <v>20</v>
      </c>
      <c r="T29" s="150"/>
      <c r="U29" s="75">
        <f t="shared" si="5"/>
        <v>27</v>
      </c>
      <c r="V29" s="54">
        <v>17.740000000000002</v>
      </c>
      <c r="W29" s="55">
        <v>93</v>
      </c>
      <c r="X29" s="150"/>
      <c r="Y29" s="75">
        <f t="shared" si="6"/>
        <v>27</v>
      </c>
      <c r="Z29" s="54">
        <v>53.73</v>
      </c>
      <c r="AA29" s="55">
        <v>265</v>
      </c>
      <c r="AB29" s="150"/>
      <c r="AC29" s="75">
        <f t="shared" si="7"/>
        <v>27</v>
      </c>
      <c r="AD29" s="54">
        <v>15.25</v>
      </c>
      <c r="AE29" s="55">
        <v>83</v>
      </c>
      <c r="AF29" s="150"/>
      <c r="AG29" s="75">
        <f t="shared" si="8"/>
        <v>27</v>
      </c>
      <c r="AH29" s="54">
        <v>26.5</v>
      </c>
      <c r="AI29" s="55">
        <v>520</v>
      </c>
      <c r="AJ29" s="150"/>
      <c r="AK29" s="75">
        <f t="shared" si="9"/>
        <v>27</v>
      </c>
      <c r="AL29" s="54">
        <v>34.629999999999995</v>
      </c>
      <c r="AM29" s="55">
        <v>361</v>
      </c>
      <c r="AN29" s="150"/>
      <c r="AO29" s="75">
        <f t="shared" si="10"/>
        <v>27</v>
      </c>
      <c r="AP29" s="54">
        <v>10.67</v>
      </c>
      <c r="AQ29" s="55">
        <v>77</v>
      </c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11.3</v>
      </c>
      <c r="C30" s="55">
        <v>100</v>
      </c>
      <c r="D30" s="150"/>
      <c r="E30" s="75">
        <f t="shared" si="1"/>
        <v>28</v>
      </c>
      <c r="F30" s="54"/>
      <c r="G30" s="55"/>
      <c r="H30" s="150"/>
      <c r="I30" s="75">
        <f t="shared" si="2"/>
        <v>28</v>
      </c>
      <c r="J30" s="54">
        <v>18.5</v>
      </c>
      <c r="K30" s="55">
        <v>145</v>
      </c>
      <c r="L30" s="150"/>
      <c r="M30" s="75">
        <f t="shared" si="3"/>
        <v>28</v>
      </c>
      <c r="N30" s="54">
        <v>24.66</v>
      </c>
      <c r="O30" s="55">
        <v>25</v>
      </c>
      <c r="P30" s="150"/>
      <c r="Q30" s="75">
        <f t="shared" si="4"/>
        <v>28</v>
      </c>
      <c r="R30" s="54">
        <v>10.1</v>
      </c>
      <c r="S30" s="55">
        <v>306</v>
      </c>
      <c r="T30" s="150"/>
      <c r="U30" s="75">
        <f t="shared" si="5"/>
        <v>28</v>
      </c>
      <c r="V30" s="54">
        <v>24.9</v>
      </c>
      <c r="W30" s="55">
        <v>636</v>
      </c>
      <c r="X30" s="150"/>
      <c r="Y30" s="75">
        <f t="shared" si="6"/>
        <v>28</v>
      </c>
      <c r="Z30" s="54">
        <v>26.2</v>
      </c>
      <c r="AA30" s="55">
        <v>420</v>
      </c>
      <c r="AB30" s="150"/>
      <c r="AC30" s="75">
        <f t="shared" si="7"/>
        <v>28</v>
      </c>
      <c r="AD30" s="54">
        <v>15.36</v>
      </c>
      <c r="AE30" s="55">
        <v>220</v>
      </c>
      <c r="AF30" s="150"/>
      <c r="AG30" s="75">
        <f t="shared" si="8"/>
        <v>28</v>
      </c>
      <c r="AH30" s="54">
        <v>61.74</v>
      </c>
      <c r="AI30" s="55">
        <v>438</v>
      </c>
      <c r="AJ30" s="150"/>
      <c r="AK30" s="75">
        <f t="shared" si="9"/>
        <v>28</v>
      </c>
      <c r="AL30" s="54">
        <v>10.6</v>
      </c>
      <c r="AM30" s="55">
        <v>30</v>
      </c>
      <c r="AN30" s="150"/>
      <c r="AO30" s="75">
        <f t="shared" si="10"/>
        <v>28</v>
      </c>
      <c r="AP30" s="54">
        <v>12.7</v>
      </c>
      <c r="AQ30" s="55">
        <v>50</v>
      </c>
      <c r="AR30" s="150"/>
      <c r="AS30" s="75">
        <f t="shared" si="11"/>
        <v>28</v>
      </c>
      <c r="AT30" s="54">
        <v>26</v>
      </c>
      <c r="AU30" s="55">
        <v>477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11.7</v>
      </c>
      <c r="C31" s="55">
        <v>160</v>
      </c>
      <c r="D31" s="150"/>
      <c r="E31" s="75"/>
      <c r="F31" s="54"/>
      <c r="G31" s="55"/>
      <c r="H31" s="150"/>
      <c r="I31" s="75">
        <f t="shared" si="2"/>
        <v>29</v>
      </c>
      <c r="J31" s="54">
        <v>36.099999999999994</v>
      </c>
      <c r="K31" s="55">
        <v>475</v>
      </c>
      <c r="L31" s="150"/>
      <c r="M31" s="75">
        <f t="shared" si="3"/>
        <v>29</v>
      </c>
      <c r="N31" s="54">
        <v>19.3</v>
      </c>
      <c r="O31" s="55">
        <v>177</v>
      </c>
      <c r="P31" s="150"/>
      <c r="Q31" s="75">
        <f t="shared" si="4"/>
        <v>29</v>
      </c>
      <c r="R31" s="54">
        <v>10.5</v>
      </c>
      <c r="S31" s="55">
        <v>30</v>
      </c>
      <c r="T31" s="150"/>
      <c r="U31" s="75">
        <f t="shared" si="5"/>
        <v>29</v>
      </c>
      <c r="V31" s="54">
        <v>14.3</v>
      </c>
      <c r="W31" s="55">
        <v>80</v>
      </c>
      <c r="X31" s="150"/>
      <c r="Y31" s="75">
        <f t="shared" si="6"/>
        <v>29</v>
      </c>
      <c r="Z31" s="54">
        <v>15.71</v>
      </c>
      <c r="AA31" s="55">
        <v>345</v>
      </c>
      <c r="AB31" s="150"/>
      <c r="AC31" s="75">
        <f t="shared" si="7"/>
        <v>29</v>
      </c>
      <c r="AD31" s="54">
        <v>16.82</v>
      </c>
      <c r="AE31" s="55">
        <v>345</v>
      </c>
      <c r="AF31" s="150"/>
      <c r="AG31" s="75">
        <f t="shared" si="8"/>
        <v>29</v>
      </c>
      <c r="AH31" s="54">
        <v>24.16</v>
      </c>
      <c r="AI31" s="55">
        <v>180</v>
      </c>
      <c r="AJ31" s="150">
        <v>4.4444444444444446E-2</v>
      </c>
      <c r="AK31" s="75">
        <f t="shared" si="9"/>
        <v>29</v>
      </c>
      <c r="AL31" s="54"/>
      <c r="AM31" s="55"/>
      <c r="AN31" s="150">
        <v>2.0833333333333332E-2</v>
      </c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>
        <v>15.969999999999999</v>
      </c>
      <c r="AU31" s="55">
        <v>81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12.8</v>
      </c>
      <c r="C32" s="55">
        <v>78</v>
      </c>
      <c r="D32" s="150"/>
      <c r="E32" s="75"/>
      <c r="F32" s="54"/>
      <c r="G32" s="55"/>
      <c r="H32" s="150"/>
      <c r="I32" s="75">
        <f t="shared" si="2"/>
        <v>30</v>
      </c>
      <c r="J32" s="54">
        <v>43.1</v>
      </c>
      <c r="K32" s="55">
        <v>164</v>
      </c>
      <c r="L32" s="150"/>
      <c r="M32" s="75">
        <f t="shared" si="3"/>
        <v>30</v>
      </c>
      <c r="N32" s="54"/>
      <c r="O32" s="55"/>
      <c r="P32" s="150"/>
      <c r="Q32" s="75">
        <f t="shared" si="4"/>
        <v>30</v>
      </c>
      <c r="R32" s="54">
        <v>31.26</v>
      </c>
      <c r="S32" s="55">
        <v>862</v>
      </c>
      <c r="T32" s="150"/>
      <c r="U32" s="75">
        <f t="shared" si="5"/>
        <v>30</v>
      </c>
      <c r="V32" s="54">
        <v>88.02</v>
      </c>
      <c r="W32" s="55">
        <v>1087</v>
      </c>
      <c r="X32" s="150"/>
      <c r="Y32" s="75">
        <f t="shared" si="6"/>
        <v>30</v>
      </c>
      <c r="Z32" s="54">
        <v>15.25</v>
      </c>
      <c r="AA32" s="55">
        <v>83</v>
      </c>
      <c r="AB32" s="150"/>
      <c r="AC32" s="75">
        <f t="shared" si="7"/>
        <v>30</v>
      </c>
      <c r="AD32" s="54">
        <v>27.2</v>
      </c>
      <c r="AE32" s="55">
        <v>260</v>
      </c>
      <c r="AF32" s="150"/>
      <c r="AG32" s="75">
        <f t="shared" si="8"/>
        <v>30</v>
      </c>
      <c r="AH32" s="54">
        <v>14.6</v>
      </c>
      <c r="AI32" s="55">
        <v>110</v>
      </c>
      <c r="AJ32" s="150"/>
      <c r="AK32" s="75">
        <f t="shared" si="9"/>
        <v>30</v>
      </c>
      <c r="AL32" s="54">
        <v>10.1</v>
      </c>
      <c r="AM32" s="55">
        <v>306</v>
      </c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>
        <v>13.86</v>
      </c>
      <c r="AU32" s="55">
        <v>68</v>
      </c>
      <c r="AV32" s="150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51"/>
      <c r="E33" s="76"/>
      <c r="F33" s="62"/>
      <c r="G33" s="63"/>
      <c r="H33" s="151"/>
      <c r="I33" s="76">
        <f t="shared" si="2"/>
        <v>31</v>
      </c>
      <c r="J33" s="62">
        <v>38.4</v>
      </c>
      <c r="K33" s="63">
        <v>220</v>
      </c>
      <c r="L33" s="151"/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14.36</v>
      </c>
      <c r="AA33" s="63">
        <v>343</v>
      </c>
      <c r="AB33" s="151"/>
      <c r="AC33" s="76">
        <f t="shared" si="7"/>
        <v>31</v>
      </c>
      <c r="AD33" s="62">
        <v>47.74</v>
      </c>
      <c r="AE33" s="63">
        <v>355</v>
      </c>
      <c r="AF33" s="151"/>
      <c r="AG33" s="76"/>
      <c r="AH33" s="62"/>
      <c r="AI33" s="63"/>
      <c r="AJ33" s="151"/>
      <c r="AK33" s="76">
        <f t="shared" si="9"/>
        <v>31</v>
      </c>
      <c r="AL33" s="62">
        <v>12.76</v>
      </c>
      <c r="AM33" s="63">
        <v>73</v>
      </c>
      <c r="AN33" s="151"/>
      <c r="AO33" s="76"/>
      <c r="AP33" s="62"/>
      <c r="AQ33" s="63"/>
      <c r="AR33" s="151"/>
      <c r="AS33" s="76">
        <f t="shared" si="11"/>
        <v>31</v>
      </c>
      <c r="AT33" s="62">
        <v>30.000000000000004</v>
      </c>
      <c r="AU33" s="63">
        <v>170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1.25" x14ac:dyDescent="0.2">
      <c r="A35" s="46" t="s">
        <v>93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1.25" x14ac:dyDescent="0.2">
      <c r="A36" s="49" t="s">
        <v>149</v>
      </c>
      <c r="B36" s="54">
        <f>MAX(B3:B33)</f>
        <v>37.299999999999997</v>
      </c>
      <c r="C36" s="55">
        <f>MAX(C3:C33)</f>
        <v>1020</v>
      </c>
      <c r="D36" s="152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52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52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52">
        <f>MAX(P3:P33)</f>
        <v>0</v>
      </c>
      <c r="Q36" s="67"/>
      <c r="R36" s="54">
        <f>MAX(R3:R33)</f>
        <v>109.87</v>
      </c>
      <c r="S36" s="55">
        <f>MAX(S3:S33)</f>
        <v>1755</v>
      </c>
      <c r="T36" s="152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52">
        <f>MAX(X3:X33)</f>
        <v>4.1666666666666664E-2</v>
      </c>
      <c r="Y36" s="67"/>
      <c r="Z36" s="54">
        <f>MAX(Z3:Z33)</f>
        <v>100.98</v>
      </c>
      <c r="AA36" s="314">
        <f>MAX(AA3:AA33)</f>
        <v>2480</v>
      </c>
      <c r="AB36" s="152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52">
        <f>MAX(AF3:AF33)</f>
        <v>0</v>
      </c>
      <c r="AG36" s="67"/>
      <c r="AH36" s="315">
        <f>MAX(AH3:AH33)</f>
        <v>85.45</v>
      </c>
      <c r="AI36" s="55">
        <f>MAX(AI3:AI33)</f>
        <v>1310</v>
      </c>
      <c r="AJ36" s="152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52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52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52">
        <f>MAX(AV3:AV33)</f>
        <v>0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17.702399999999997</v>
      </c>
      <c r="C37" s="55">
        <f>IFERROR(AVERAGE(C3:C33),0)</f>
        <v>369.68</v>
      </c>
      <c r="D37" s="152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52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52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52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52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52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52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52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52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52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52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52">
        <f>IFERROR(AVERAGE(AV3:AV33),0)</f>
        <v>0</v>
      </c>
      <c r="AW37" s="67"/>
    </row>
    <row r="38" spans="1:49" s="49" customFormat="1" ht="11.25" x14ac:dyDescent="0.2">
      <c r="A38" s="49" t="s">
        <v>236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1235.71</v>
      </c>
      <c r="K39" s="51">
        <f t="shared" ref="K39:L39" si="12">SUM(C34,G34,K34)</f>
        <v>15976</v>
      </c>
      <c r="L39" s="170">
        <f t="shared" si="12"/>
        <v>89.199999999999989</v>
      </c>
      <c r="M39" s="168"/>
      <c r="P39" s="169"/>
      <c r="Q39" s="168"/>
      <c r="T39" s="169"/>
      <c r="U39" s="168"/>
      <c r="V39" s="50">
        <f>SUM(N34,R34,V34)</f>
        <v>1866.7399999999998</v>
      </c>
      <c r="W39" s="51">
        <f>SUM(O34,S34,W34)</f>
        <v>24248</v>
      </c>
      <c r="X39" s="170">
        <f>SUM(P34,T34,X34)</f>
        <v>90.800000000000011</v>
      </c>
      <c r="Y39" s="168"/>
      <c r="AB39" s="169"/>
      <c r="AC39" s="168"/>
      <c r="AF39" s="169"/>
      <c r="AG39" s="168"/>
      <c r="AH39" s="86">
        <f>SUM(Z34,AD34,AH34)</f>
        <v>2365.8500000000004</v>
      </c>
      <c r="AI39" s="51">
        <f>SUM(AA34,AE34,AI34)</f>
        <v>31168</v>
      </c>
      <c r="AJ39" s="170">
        <f>SUM(AB34,AF34,AJ34)</f>
        <v>75.600000000000023</v>
      </c>
      <c r="AK39" s="168"/>
      <c r="AN39" s="169"/>
      <c r="AO39" s="168"/>
      <c r="AR39" s="169"/>
      <c r="AS39" s="168"/>
      <c r="AT39" s="50">
        <f>SUM(AL34,AP34,AT34)</f>
        <v>1691.5700000000002</v>
      </c>
      <c r="AU39" s="51">
        <f>SUM(AM34,AQ34,AU34)</f>
        <v>15660</v>
      </c>
      <c r="AV39" s="170">
        <f>SUM(AN34,AR34,AV34)</f>
        <v>32.4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52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52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52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52">
        <f>IFERROR(AVERAGE(AN37,AR37,AV37),0)</f>
        <v>9.3749999999999997E-3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1.25" x14ac:dyDescent="0.2">
      <c r="A42" s="52" t="s">
        <v>214</v>
      </c>
      <c r="B42" s="86">
        <f>T1</f>
        <v>24.790436581655058</v>
      </c>
      <c r="C42" s="87">
        <f>AB1</f>
        <v>297.89439566472174</v>
      </c>
      <c r="D42" s="88"/>
      <c r="E42" s="176" t="s">
        <v>399</v>
      </c>
      <c r="F42" s="177">
        <f>SUM(J23:J33,N3:N33,R3:R33,V3:V33,Z3:Z33,AD3:AD33,AH3:AH23)</f>
        <v>4246.0399999999991</v>
      </c>
      <c r="G42" s="178">
        <f>SUM(K23:K33,O3:O32,S3:S33,W3:W32,AA3:AA33,AE3:AE33,AI3:AI23)</f>
        <v>55221</v>
      </c>
      <c r="H42" s="179"/>
      <c r="I42" s="179"/>
      <c r="J42" s="180">
        <f>IFERROR(F42/(F42+F43),0)</f>
        <v>0.59303311372971834</v>
      </c>
      <c r="K42" s="180">
        <f>IFERROR(G42/(G42+G43),0)</f>
        <v>0.63434498920185634</v>
      </c>
      <c r="L42" s="179"/>
      <c r="M42" s="259" t="s">
        <v>600</v>
      </c>
      <c r="N42" s="257">
        <v>63</v>
      </c>
      <c r="Y42" s="144"/>
      <c r="AK42" s="211" t="s">
        <v>478</v>
      </c>
      <c r="AL42" s="47">
        <f>MAX(B34,F34,J34,N34,R34,V34,Z34,AD34,AH34,AL34,AP34,AT34)</f>
        <v>919.33999999999992</v>
      </c>
      <c r="AM42" s="212">
        <f>MAX(C34,G34,K34,O34,S34,W34,AA34,AE34,AI34,AM34,AQ34,AU34)</f>
        <v>12660</v>
      </c>
      <c r="AN42" s="49" t="s">
        <v>346</v>
      </c>
      <c r="AO42" s="210" t="s">
        <v>344</v>
      </c>
      <c r="AP42" s="54">
        <f>R1-'12'!R1</f>
        <v>-159.53</v>
      </c>
      <c r="AQ42" s="78">
        <f>AF1-'12'!AF1</f>
        <v>-2033</v>
      </c>
      <c r="AR42" s="49" t="s">
        <v>345</v>
      </c>
      <c r="AS42" s="209" t="s">
        <v>344</v>
      </c>
      <c r="AT42" s="54">
        <f>I1-'12'!I1</f>
        <v>2.75</v>
      </c>
      <c r="AU42" s="78">
        <f>AN1-'12'!AN1</f>
        <v>250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19.616082191780823</v>
      </c>
      <c r="C43" s="87">
        <f>AU1/365</f>
        <v>238.49863013698629</v>
      </c>
      <c r="D43" s="88"/>
      <c r="E43" s="172" t="s">
        <v>400</v>
      </c>
      <c r="F43" s="173">
        <f>E1-F42</f>
        <v>2913.8300000000017</v>
      </c>
      <c r="G43" s="174">
        <f>AU1-G42</f>
        <v>31831</v>
      </c>
      <c r="H43" s="175"/>
      <c r="I43" s="175"/>
      <c r="J43" s="181">
        <f>IFERROR(F43/(F42+F43),0)</f>
        <v>0.40696688627028166</v>
      </c>
      <c r="K43" s="181">
        <f>IFERROR(G43/(G42+G43),0)</f>
        <v>0.36565501079814366</v>
      </c>
      <c r="L43" s="175"/>
      <c r="M43" s="65" t="s">
        <v>601</v>
      </c>
      <c r="N43" s="258">
        <v>12</v>
      </c>
      <c r="Y43" s="67"/>
      <c r="AK43" s="213" t="s">
        <v>481</v>
      </c>
      <c r="AL43" s="188">
        <f>IF($B$1&lt;&gt;0,$AV$35/$B1,0)</f>
        <v>3.8668773756792209E-2</v>
      </c>
      <c r="AO43" s="209" t="s">
        <v>344</v>
      </c>
      <c r="AP43" s="54">
        <f>AV35-'12'!AV35</f>
        <v>-611.20000000000005</v>
      </c>
      <c r="AQ43" s="188">
        <f>AL43-'12'!AL43</f>
        <v>-6.4605937319225287E-2</v>
      </c>
      <c r="AR43" s="49" t="s">
        <v>204</v>
      </c>
      <c r="AS43" s="209" t="s">
        <v>344</v>
      </c>
      <c r="AT43" s="54">
        <f>B1-'12'!B1</f>
        <v>-1259.005000000001</v>
      </c>
      <c r="AU43" s="78">
        <f>AU1-'12'!AU1</f>
        <v>-2211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04" priority="66" operator="equal">
      <formula>$R$1</formula>
    </cfRule>
    <cfRule type="cellIs" dxfId="503" priority="67" operator="equal">
      <formula>$M$1</formula>
    </cfRule>
  </conditionalFormatting>
  <conditionalFormatting sqref="C34 G34 K34 O34 S34 W34 AA34 AE34 AI34 AM34 AQ34 AU34">
    <cfRule type="cellIs" dxfId="502" priority="65" operator="equal">
      <formula>$AF$1</formula>
    </cfRule>
    <cfRule type="cellIs" dxfId="501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00" priority="62" operator="lessThan">
      <formula>0</formula>
    </cfRule>
    <cfRule type="cellIs" dxfId="499" priority="63" operator="greaterThanOrEqual">
      <formula>0</formula>
    </cfRule>
  </conditionalFormatting>
  <conditionalFormatting sqref="C38 AU42:AU43 AQ42 G38 K38 O38 S38 W38 AA38 AE38 AI38 AM38 AQ38 AU38">
    <cfRule type="cellIs" dxfId="498" priority="60" operator="lessThan">
      <formula>0</formula>
    </cfRule>
    <cfRule type="cellIs" dxfId="497" priority="61" operator="greaterThanOrEqual">
      <formula>0</formula>
    </cfRule>
  </conditionalFormatting>
  <conditionalFormatting sqref="D38">
    <cfRule type="cellIs" dxfId="496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95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94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93" priority="48" stopIfTrue="1" operator="between">
      <formula>0</formula>
      <formula>0.0416550925925926</formula>
    </cfRule>
    <cfRule type="cellIs" dxfId="492" priority="49" stopIfTrue="1" operator="between">
      <formula>0.0416666666666667</formula>
      <formula>0.0833217592592593</formula>
    </cfRule>
    <cfRule type="cellIs" dxfId="491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90" priority="36" operator="equal">
      <formula>MAX($D$36,$H$36,$L$36,$P$36,$T$36,$X$36,$AB$36,$AF$36,$AJ$36,$AN$36,$AR$36,$AV$36)</formula>
    </cfRule>
  </conditionalFormatting>
  <conditionalFormatting sqref="AP43">
    <cfRule type="cellIs" dxfId="489" priority="34" operator="lessThan">
      <formula>0</formula>
    </cfRule>
    <cfRule type="cellIs" dxfId="488" priority="35" operator="greaterThanOrEqual">
      <formula>0</formula>
    </cfRule>
  </conditionalFormatting>
  <conditionalFormatting sqref="B3:B33 F3:F33 J3:J33 N3:N33 R3:R33 V3:V33 Z3:Z33 AT3:AT33 AH3:AH33 AL3:AL33 AP3:AP33 AD3:AD33">
    <cfRule type="cellIs" dxfId="487" priority="57" stopIfTrue="1" operator="lessThan">
      <formula>50</formula>
    </cfRule>
    <cfRule type="cellIs" dxfId="486" priority="58" stopIfTrue="1" operator="greaterThanOrEqual">
      <formula>100</formula>
    </cfRule>
    <cfRule type="cellIs" dxfId="485" priority="59" operator="greaterThanOrEqual">
      <formula>50</formula>
    </cfRule>
  </conditionalFormatting>
  <conditionalFormatting sqref="C3:C33 G3:G33 K3:K33 O3:O33 S3:S33 W3:W33 AA3:AA33 AU3:AU33 AI3:AI33 AM3:AM33 AQ3:AQ33 AE3:AE33">
    <cfRule type="cellIs" dxfId="484" priority="54" stopIfTrue="1" operator="between">
      <formula>0</formula>
      <formula>749.99</formula>
    </cfRule>
    <cfRule type="cellIs" dxfId="483" priority="55" stopIfTrue="1" operator="greaterThanOrEqual">
      <formula>1500</formula>
    </cfRule>
    <cfRule type="cellIs" dxfId="482" priority="56" operator="greaterThanOrEqual">
      <formula>750</formula>
    </cfRule>
  </conditionalFormatting>
  <conditionalFormatting sqref="AQ43">
    <cfRule type="cellIs" dxfId="481" priority="32" stopIfTrue="1" operator="lessThan">
      <formula>0</formula>
    </cfRule>
    <cfRule type="cellIs" dxfId="480" priority="33" operator="greaterThanOrEqual">
      <formula>0</formula>
    </cfRule>
  </conditionalFormatting>
  <conditionalFormatting sqref="AL42">
    <cfRule type="cellIs" dxfId="479" priority="26" stopIfTrue="1" operator="lessThan">
      <formula>1000</formula>
    </cfRule>
    <cfRule type="cellIs" dxfId="478" priority="27" stopIfTrue="1" operator="lessThan">
      <formula>1100</formula>
    </cfRule>
    <cfRule type="cellIs" dxfId="477" priority="28" stopIfTrue="1" operator="lessThan">
      <formula>9999</formula>
    </cfRule>
  </conditionalFormatting>
  <conditionalFormatting sqref="AM42">
    <cfRule type="cellIs" dxfId="476" priority="23" stopIfTrue="1" operator="lessThan">
      <formula>10000</formula>
    </cfRule>
    <cfRule type="cellIs" dxfId="475" priority="24" stopIfTrue="1" operator="lessThan">
      <formula>13000</formula>
    </cfRule>
    <cfRule type="cellIs" dxfId="474" priority="25" stopIfTrue="1" operator="lessThan">
      <formula>99999</formula>
    </cfRule>
  </conditionalFormatting>
  <conditionalFormatting sqref="AL43">
    <cfRule type="cellIs" dxfId="473" priority="20" stopIfTrue="1" operator="lessThan">
      <formula>0.05</formula>
    </cfRule>
    <cfRule type="cellIs" dxfId="472" priority="21" stopIfTrue="1" operator="lessThan">
      <formula>0.1</formula>
    </cfRule>
    <cfRule type="cellIs" dxfId="471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8449.489999999998</v>
      </c>
      <c r="C1" s="382"/>
      <c r="D1" s="83" t="s">
        <v>238</v>
      </c>
      <c r="E1" s="383">
        <f>AT35</f>
        <v>8113.8899999999985</v>
      </c>
      <c r="F1" s="383"/>
      <c r="G1" s="384" t="s">
        <v>152</v>
      </c>
      <c r="H1" s="384"/>
      <c r="I1" s="380">
        <f>MAX(B36,F36,J36,N36,R36,V36,Z36,AD36,AH36,AL36,AP36,AT36)</f>
        <v>154.47999999999999</v>
      </c>
      <c r="J1" s="380"/>
      <c r="K1" s="385" t="s">
        <v>159</v>
      </c>
      <c r="L1" s="385"/>
      <c r="M1" s="386">
        <f>MAX(B34,F34,J34,N34,R34,V34,Z34,AD34,AH34,AL34,AP34,AT34)</f>
        <v>830.34</v>
      </c>
      <c r="N1" s="386"/>
      <c r="O1" s="379" t="s">
        <v>190</v>
      </c>
      <c r="P1" s="379"/>
      <c r="Q1" s="379"/>
      <c r="R1" s="149">
        <f>MIN(B34,F34,J34,N34,R34,V34,Z34,AD34,AH34,AL34,AP34,AT34)</f>
        <v>531.12000000000012</v>
      </c>
      <c r="S1" s="84" t="s">
        <v>207</v>
      </c>
      <c r="T1" s="372">
        <f>IFERROR(AVERAGE(B37,F37,J37,N37,R37,V37,Z37,AD37,AH37,AL37,AP37,AT37),0)</f>
        <v>24.369046054229518</v>
      </c>
      <c r="U1" s="372"/>
      <c r="V1" s="391" t="s">
        <v>641</v>
      </c>
      <c r="W1" s="391"/>
      <c r="X1" s="391"/>
      <c r="Y1" s="391"/>
      <c r="Z1" s="391"/>
      <c r="AA1" s="85" t="s">
        <v>207</v>
      </c>
      <c r="AB1" s="381">
        <f>IFERROR(AVERAGE(C37,G37,K37,O37,S37,W37,AA37,AE37,AI37,AM37,AQ37,AU37),0)</f>
        <v>263.42805021641044</v>
      </c>
      <c r="AC1" s="381"/>
      <c r="AD1" s="371" t="s">
        <v>190</v>
      </c>
      <c r="AE1" s="371"/>
      <c r="AF1" s="374">
        <f>MIN(C34,G34,K34,O34,S34,W34,AA34,AE34,AI34,AM34,AQ34,AU34)</f>
        <v>5009</v>
      </c>
      <c r="AG1" s="374"/>
      <c r="AH1" s="375" t="s">
        <v>159</v>
      </c>
      <c r="AI1" s="375"/>
      <c r="AJ1" s="376">
        <f>MAX(C34,G34,K34,O34,S34,W34,AA34,AE34,AI34,AM34,AQ34,AU34)</f>
        <v>11173</v>
      </c>
      <c r="AK1" s="376"/>
      <c r="AL1" s="378" t="s">
        <v>153</v>
      </c>
      <c r="AM1" s="378"/>
      <c r="AN1" s="377">
        <f>MAX(C36,G36,K36,O36,S36,W36,AA36,AE36,AI36,AM36,AQ36,AU36)</f>
        <v>1552</v>
      </c>
      <c r="AO1" s="377"/>
      <c r="AP1" s="367" t="s">
        <v>361</v>
      </c>
      <c r="AQ1" s="367"/>
      <c r="AR1" s="368">
        <f>MAX(D36,H36,L36,P36,T36,X36,AB36,AF36,AJ36,AN36,AR36,AV36)</f>
        <v>0.10416666666666667</v>
      </c>
      <c r="AS1" s="368"/>
      <c r="AT1" s="81" t="s">
        <v>2</v>
      </c>
      <c r="AU1" s="369">
        <f>AU35</f>
        <v>88113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16.52</v>
      </c>
      <c r="C3" s="55">
        <v>87</v>
      </c>
      <c r="D3" s="150"/>
      <c r="E3" s="75">
        <v>1</v>
      </c>
      <c r="F3" s="54">
        <v>14.36</v>
      </c>
      <c r="G3" s="55">
        <v>343</v>
      </c>
      <c r="H3" s="150"/>
      <c r="I3" s="75">
        <v>1</v>
      </c>
      <c r="J3" s="54">
        <v>49.22</v>
      </c>
      <c r="K3" s="55">
        <v>530</v>
      </c>
      <c r="L3" s="150"/>
      <c r="M3" s="75">
        <v>1</v>
      </c>
      <c r="N3" s="54">
        <v>18.3</v>
      </c>
      <c r="O3" s="55">
        <v>404</v>
      </c>
      <c r="P3" s="150"/>
      <c r="Q3" s="75">
        <v>1</v>
      </c>
      <c r="R3" s="54">
        <v>37.159999999999997</v>
      </c>
      <c r="S3" s="55">
        <v>603</v>
      </c>
      <c r="T3" s="150">
        <v>5.2083333333333336E-2</v>
      </c>
      <c r="U3" s="75">
        <v>1</v>
      </c>
      <c r="V3" s="54">
        <v>42.259999999999991</v>
      </c>
      <c r="W3" s="55">
        <v>571</v>
      </c>
      <c r="X3" s="150"/>
      <c r="Y3" s="75">
        <v>1</v>
      </c>
      <c r="Z3" s="54">
        <v>45.1</v>
      </c>
      <c r="AA3" s="55">
        <v>600</v>
      </c>
      <c r="AB3" s="150"/>
      <c r="AC3" s="75">
        <v>1</v>
      </c>
      <c r="AD3" s="54"/>
      <c r="AE3" s="55"/>
      <c r="AF3" s="150"/>
      <c r="AG3" s="75">
        <v>1</v>
      </c>
      <c r="AH3" s="54">
        <v>11.25</v>
      </c>
      <c r="AI3" s="55">
        <v>70</v>
      </c>
      <c r="AJ3" s="150"/>
      <c r="AK3" s="75">
        <v>1</v>
      </c>
      <c r="AL3" s="54"/>
      <c r="AM3" s="55"/>
      <c r="AN3" s="150"/>
      <c r="AO3" s="75">
        <v>1</v>
      </c>
      <c r="AP3" s="54">
        <v>65.599999999999994</v>
      </c>
      <c r="AQ3" s="55">
        <v>1014</v>
      </c>
      <c r="AR3" s="150"/>
      <c r="AS3" s="75">
        <v>1</v>
      </c>
      <c r="AT3" s="54">
        <v>11</v>
      </c>
      <c r="AU3" s="55">
        <v>3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50">
        <v>5.5555555555555552E-2</v>
      </c>
      <c r="E4" s="75">
        <f t="shared" ref="E4:E30" si="1">E3+1</f>
        <v>2</v>
      </c>
      <c r="F4" s="54"/>
      <c r="G4" s="55"/>
      <c r="H4" s="150"/>
      <c r="I4" s="75">
        <f t="shared" ref="I4:I33" si="2">I3+1</f>
        <v>2</v>
      </c>
      <c r="J4" s="54">
        <v>60.67</v>
      </c>
      <c r="K4" s="55">
        <v>289</v>
      </c>
      <c r="L4" s="150"/>
      <c r="M4" s="75">
        <f t="shared" ref="M4:M32" si="3">M3+1</f>
        <v>2</v>
      </c>
      <c r="N4" s="54">
        <v>20.3</v>
      </c>
      <c r="O4" s="55">
        <v>360</v>
      </c>
      <c r="P4" s="150"/>
      <c r="Q4" s="75">
        <f t="shared" ref="Q4:Q33" si="4">Q3+1</f>
        <v>2</v>
      </c>
      <c r="R4" s="54">
        <v>19.3</v>
      </c>
      <c r="S4" s="55">
        <v>213</v>
      </c>
      <c r="T4" s="150"/>
      <c r="U4" s="75">
        <f t="shared" ref="U4:U32" si="5">U3+1</f>
        <v>2</v>
      </c>
      <c r="V4" s="54">
        <v>22.86</v>
      </c>
      <c r="W4" s="55">
        <v>83</v>
      </c>
      <c r="X4" s="150"/>
      <c r="Y4" s="75">
        <f t="shared" ref="Y4:Y33" si="6">Y3+1</f>
        <v>2</v>
      </c>
      <c r="Z4" s="54">
        <v>14.36</v>
      </c>
      <c r="AA4" s="55">
        <v>343</v>
      </c>
      <c r="AB4" s="150"/>
      <c r="AC4" s="75">
        <f t="shared" ref="AC4:AC33" si="7">AC3+1</f>
        <v>2</v>
      </c>
      <c r="AD4" s="54">
        <v>15.06</v>
      </c>
      <c r="AE4" s="55">
        <v>556</v>
      </c>
      <c r="AF4" s="150"/>
      <c r="AG4" s="75">
        <f>AG3+1</f>
        <v>2</v>
      </c>
      <c r="AH4" s="54">
        <v>19.600000000000001</v>
      </c>
      <c r="AI4" s="55">
        <v>440</v>
      </c>
      <c r="AJ4" s="150"/>
      <c r="AK4" s="75">
        <f>AK3+1</f>
        <v>2</v>
      </c>
      <c r="AL4" s="54"/>
      <c r="AM4" s="55"/>
      <c r="AN4" s="150"/>
      <c r="AO4" s="75">
        <f>AO3+1</f>
        <v>2</v>
      </c>
      <c r="AP4" s="54">
        <v>61.1</v>
      </c>
      <c r="AQ4" s="55">
        <v>540</v>
      </c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si="0"/>
        <v>3</v>
      </c>
      <c r="B5" s="54">
        <v>15.9</v>
      </c>
      <c r="C5" s="55">
        <v>88</v>
      </c>
      <c r="D5" s="150"/>
      <c r="E5" s="75">
        <f t="shared" si="1"/>
        <v>3</v>
      </c>
      <c r="F5" s="54">
        <v>10.129999999999999</v>
      </c>
      <c r="G5" s="55">
        <v>49</v>
      </c>
      <c r="H5" s="150"/>
      <c r="I5" s="75">
        <f t="shared" si="2"/>
        <v>3</v>
      </c>
      <c r="J5" s="54">
        <v>24.66</v>
      </c>
      <c r="K5" s="55">
        <v>25</v>
      </c>
      <c r="L5" s="150"/>
      <c r="M5" s="75">
        <f t="shared" si="3"/>
        <v>3</v>
      </c>
      <c r="N5" s="54">
        <v>24.66</v>
      </c>
      <c r="O5" s="55">
        <v>25</v>
      </c>
      <c r="P5" s="150"/>
      <c r="Q5" s="75">
        <f t="shared" si="4"/>
        <v>3</v>
      </c>
      <c r="R5" s="54">
        <v>65.88</v>
      </c>
      <c r="S5" s="55">
        <v>151</v>
      </c>
      <c r="T5" s="150"/>
      <c r="U5" s="75">
        <f t="shared" si="5"/>
        <v>3</v>
      </c>
      <c r="V5" s="54">
        <v>15.17</v>
      </c>
      <c r="W5" s="55">
        <v>140</v>
      </c>
      <c r="X5" s="150"/>
      <c r="Y5" s="75">
        <f t="shared" si="6"/>
        <v>3</v>
      </c>
      <c r="Z5" s="54">
        <v>14.36</v>
      </c>
      <c r="AA5" s="55">
        <v>343</v>
      </c>
      <c r="AB5" s="150"/>
      <c r="AC5" s="75">
        <f t="shared" si="7"/>
        <v>3</v>
      </c>
      <c r="AD5" s="54">
        <v>19.5</v>
      </c>
      <c r="AE5" s="55">
        <v>450</v>
      </c>
      <c r="AF5" s="150"/>
      <c r="AG5" s="75">
        <f t="shared" ref="AG5:AG32" si="8">AG4+1</f>
        <v>3</v>
      </c>
      <c r="AH5" s="54">
        <v>22.83</v>
      </c>
      <c r="AI5" s="55">
        <v>172</v>
      </c>
      <c r="AJ5" s="150"/>
      <c r="AK5" s="75">
        <f t="shared" ref="AK5:AK33" si="9">AK4+1</f>
        <v>3</v>
      </c>
      <c r="AL5" s="54"/>
      <c r="AM5" s="55"/>
      <c r="AN5" s="150"/>
      <c r="AO5" s="75">
        <f t="shared" ref="AO5:AO32" si="10">AO4+1</f>
        <v>3</v>
      </c>
      <c r="AP5" s="54">
        <v>18.399999999999999</v>
      </c>
      <c r="AQ5" s="55">
        <v>130</v>
      </c>
      <c r="AR5" s="150"/>
      <c r="AS5" s="75">
        <f t="shared" ref="AS5:AS33" si="11">AS4+1</f>
        <v>3</v>
      </c>
      <c r="AT5" s="54">
        <v>13.16</v>
      </c>
      <c r="AU5" s="55">
        <v>30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14.36</v>
      </c>
      <c r="C6" s="55">
        <v>343</v>
      </c>
      <c r="D6" s="150"/>
      <c r="E6" s="75">
        <f t="shared" si="1"/>
        <v>4</v>
      </c>
      <c r="F6" s="54">
        <v>21.73</v>
      </c>
      <c r="G6" s="55">
        <v>357</v>
      </c>
      <c r="H6" s="150"/>
      <c r="I6" s="75">
        <f t="shared" si="2"/>
        <v>4</v>
      </c>
      <c r="J6" s="54">
        <v>9.18</v>
      </c>
      <c r="K6" s="55">
        <v>45</v>
      </c>
      <c r="L6" s="150"/>
      <c r="M6" s="75">
        <f t="shared" si="3"/>
        <v>4</v>
      </c>
      <c r="N6" s="54">
        <v>17.2</v>
      </c>
      <c r="O6" s="55">
        <v>364</v>
      </c>
      <c r="P6" s="150"/>
      <c r="Q6" s="75">
        <f t="shared" si="4"/>
        <v>4</v>
      </c>
      <c r="R6" s="54">
        <v>28.3</v>
      </c>
      <c r="S6" s="55">
        <v>220</v>
      </c>
      <c r="T6" s="150"/>
      <c r="U6" s="75">
        <f t="shared" si="5"/>
        <v>4</v>
      </c>
      <c r="V6" s="54">
        <v>14.2</v>
      </c>
      <c r="W6" s="55">
        <v>300</v>
      </c>
      <c r="X6" s="150"/>
      <c r="Y6" s="75">
        <f t="shared" si="6"/>
        <v>4</v>
      </c>
      <c r="Z6" s="54">
        <v>17.8</v>
      </c>
      <c r="AA6" s="55">
        <v>360</v>
      </c>
      <c r="AB6" s="150"/>
      <c r="AC6" s="75">
        <f t="shared" si="7"/>
        <v>4</v>
      </c>
      <c r="AD6" s="54">
        <v>26.75</v>
      </c>
      <c r="AE6" s="55">
        <v>696</v>
      </c>
      <c r="AF6" s="150"/>
      <c r="AG6" s="75">
        <f t="shared" si="8"/>
        <v>4</v>
      </c>
      <c r="AH6" s="54">
        <v>14.8</v>
      </c>
      <c r="AI6" s="55">
        <v>330</v>
      </c>
      <c r="AJ6" s="150"/>
      <c r="AK6" s="75">
        <f t="shared" si="9"/>
        <v>4</v>
      </c>
      <c r="AL6" s="54"/>
      <c r="AM6" s="55"/>
      <c r="AN6" s="150"/>
      <c r="AO6" s="75">
        <f t="shared" si="10"/>
        <v>4</v>
      </c>
      <c r="AP6" s="54">
        <v>16</v>
      </c>
      <c r="AQ6" s="55">
        <v>65</v>
      </c>
      <c r="AR6" s="150"/>
      <c r="AS6" s="75">
        <f t="shared" si="11"/>
        <v>4</v>
      </c>
      <c r="AT6" s="54">
        <v>15.1</v>
      </c>
      <c r="AU6" s="55">
        <v>50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30.01</v>
      </c>
      <c r="C7" s="55">
        <v>395</v>
      </c>
      <c r="D7" s="150"/>
      <c r="E7" s="75">
        <f t="shared" si="1"/>
        <v>5</v>
      </c>
      <c r="F7" s="54">
        <v>11.3</v>
      </c>
      <c r="G7" s="55">
        <v>30</v>
      </c>
      <c r="H7" s="150"/>
      <c r="I7" s="75">
        <f t="shared" si="2"/>
        <v>5</v>
      </c>
      <c r="J7" s="54">
        <v>17.399999999999999</v>
      </c>
      <c r="K7" s="55">
        <v>57</v>
      </c>
      <c r="L7" s="150"/>
      <c r="M7" s="75">
        <f t="shared" si="3"/>
        <v>5</v>
      </c>
      <c r="N7" s="54">
        <v>39.5</v>
      </c>
      <c r="O7" s="55">
        <v>425</v>
      </c>
      <c r="P7" s="150"/>
      <c r="Q7" s="75">
        <f t="shared" si="4"/>
        <v>5</v>
      </c>
      <c r="R7" s="54">
        <v>21</v>
      </c>
      <c r="S7" s="55">
        <v>65</v>
      </c>
      <c r="T7" s="150"/>
      <c r="U7" s="75">
        <f t="shared" si="5"/>
        <v>5</v>
      </c>
      <c r="V7" s="54">
        <v>14.219999999999999</v>
      </c>
      <c r="W7" s="55">
        <v>90</v>
      </c>
      <c r="X7" s="150"/>
      <c r="Y7" s="75">
        <f t="shared" si="6"/>
        <v>5</v>
      </c>
      <c r="Z7" s="54">
        <v>25.419999999999995</v>
      </c>
      <c r="AA7" s="55">
        <v>421</v>
      </c>
      <c r="AB7" s="150"/>
      <c r="AC7" s="75">
        <f t="shared" si="7"/>
        <v>5</v>
      </c>
      <c r="AD7" s="54">
        <v>15.2</v>
      </c>
      <c r="AE7" s="55">
        <v>215</v>
      </c>
      <c r="AF7" s="150"/>
      <c r="AG7" s="75">
        <f t="shared" si="8"/>
        <v>5</v>
      </c>
      <c r="AH7" s="54">
        <v>19.600000000000001</v>
      </c>
      <c r="AI7" s="55">
        <v>440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>
        <v>10.8</v>
      </c>
      <c r="AU7" s="55">
        <v>308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23.3</v>
      </c>
      <c r="C8" s="55">
        <v>320</v>
      </c>
      <c r="D8" s="150"/>
      <c r="E8" s="75">
        <f t="shared" si="1"/>
        <v>6</v>
      </c>
      <c r="F8" s="54">
        <v>11.290000000000001</v>
      </c>
      <c r="G8" s="55">
        <v>95</v>
      </c>
      <c r="H8" s="150"/>
      <c r="I8" s="75">
        <f t="shared" si="2"/>
        <v>6</v>
      </c>
      <c r="J8" s="54">
        <v>11.93</v>
      </c>
      <c r="K8" s="55">
        <v>78</v>
      </c>
      <c r="L8" s="150"/>
      <c r="M8" s="75">
        <f t="shared" si="3"/>
        <v>6</v>
      </c>
      <c r="N8" s="54">
        <v>47.68</v>
      </c>
      <c r="O8" s="55">
        <v>671</v>
      </c>
      <c r="P8" s="150"/>
      <c r="Q8" s="75">
        <f t="shared" si="4"/>
        <v>6</v>
      </c>
      <c r="R8" s="54">
        <v>7.8</v>
      </c>
      <c r="S8" s="55">
        <v>175</v>
      </c>
      <c r="T8" s="150"/>
      <c r="U8" s="75">
        <f t="shared" si="5"/>
        <v>6</v>
      </c>
      <c r="V8" s="54">
        <v>15.06</v>
      </c>
      <c r="W8" s="55">
        <v>556</v>
      </c>
      <c r="X8" s="150"/>
      <c r="Y8" s="75">
        <f t="shared" si="6"/>
        <v>6</v>
      </c>
      <c r="Z8" s="54">
        <v>66.44</v>
      </c>
      <c r="AA8" s="55">
        <v>1016</v>
      </c>
      <c r="AB8" s="150"/>
      <c r="AC8" s="75">
        <f t="shared" si="7"/>
        <v>6</v>
      </c>
      <c r="AD8" s="54">
        <v>16.98</v>
      </c>
      <c r="AE8" s="55">
        <v>70</v>
      </c>
      <c r="AF8" s="150"/>
      <c r="AG8" s="75">
        <f t="shared" si="8"/>
        <v>6</v>
      </c>
      <c r="AH8" s="54">
        <v>58.44</v>
      </c>
      <c r="AI8" s="55">
        <v>652</v>
      </c>
      <c r="AJ8" s="150"/>
      <c r="AK8" s="75">
        <f t="shared" si="9"/>
        <v>6</v>
      </c>
      <c r="AL8" s="54">
        <v>50.4</v>
      </c>
      <c r="AM8" s="55">
        <v>605</v>
      </c>
      <c r="AN8" s="150"/>
      <c r="AO8" s="75">
        <f t="shared" si="10"/>
        <v>6</v>
      </c>
      <c r="AP8" s="54">
        <v>20.6</v>
      </c>
      <c r="AQ8" s="55">
        <v>90</v>
      </c>
      <c r="AR8" s="150"/>
      <c r="AS8" s="75">
        <f t="shared" si="11"/>
        <v>6</v>
      </c>
      <c r="AT8" s="54">
        <v>30.11</v>
      </c>
      <c r="AU8" s="55">
        <v>343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7.14</v>
      </c>
      <c r="C9" s="55">
        <v>30</v>
      </c>
      <c r="D9" s="150"/>
      <c r="E9" s="75">
        <f t="shared" si="1"/>
        <v>7</v>
      </c>
      <c r="F9" s="54">
        <v>12.2</v>
      </c>
      <c r="G9" s="55">
        <v>50</v>
      </c>
      <c r="H9" s="150"/>
      <c r="I9" s="75">
        <f t="shared" si="2"/>
        <v>7</v>
      </c>
      <c r="J9" s="54">
        <v>15.32</v>
      </c>
      <c r="K9" s="55">
        <v>175</v>
      </c>
      <c r="L9" s="150"/>
      <c r="M9" s="75">
        <f t="shared" si="3"/>
        <v>7</v>
      </c>
      <c r="N9" s="54">
        <v>18.3</v>
      </c>
      <c r="O9" s="55">
        <v>404</v>
      </c>
      <c r="P9" s="150"/>
      <c r="Q9" s="75">
        <f t="shared" si="4"/>
        <v>7</v>
      </c>
      <c r="R9" s="54">
        <v>14.4</v>
      </c>
      <c r="S9" s="55">
        <v>50</v>
      </c>
      <c r="T9" s="150"/>
      <c r="U9" s="75">
        <f t="shared" si="5"/>
        <v>7</v>
      </c>
      <c r="V9" s="54">
        <v>20.53</v>
      </c>
      <c r="W9" s="55">
        <v>360</v>
      </c>
      <c r="X9" s="150"/>
      <c r="Y9" s="75">
        <f t="shared" si="6"/>
        <v>7</v>
      </c>
      <c r="Z9" s="54">
        <v>11.4</v>
      </c>
      <c r="AA9" s="55">
        <v>40</v>
      </c>
      <c r="AB9" s="150"/>
      <c r="AC9" s="75">
        <f t="shared" si="7"/>
        <v>7</v>
      </c>
      <c r="AD9" s="54">
        <v>16</v>
      </c>
      <c r="AE9" s="55">
        <v>210</v>
      </c>
      <c r="AF9" s="150"/>
      <c r="AG9" s="75">
        <f t="shared" si="8"/>
        <v>7</v>
      </c>
      <c r="AH9" s="54">
        <v>19.7</v>
      </c>
      <c r="AI9" s="55">
        <v>470</v>
      </c>
      <c r="AJ9" s="150"/>
      <c r="AK9" s="75">
        <f t="shared" si="9"/>
        <v>7</v>
      </c>
      <c r="AL9" s="54">
        <v>12.8</v>
      </c>
      <c r="AM9" s="55">
        <v>20</v>
      </c>
      <c r="AN9" s="150"/>
      <c r="AO9" s="75">
        <f t="shared" si="10"/>
        <v>7</v>
      </c>
      <c r="AP9" s="54">
        <v>18</v>
      </c>
      <c r="AQ9" s="55">
        <v>60</v>
      </c>
      <c r="AR9" s="150"/>
      <c r="AS9" s="75">
        <f t="shared" si="11"/>
        <v>7</v>
      </c>
      <c r="AT9" s="54">
        <v>34.700000000000003</v>
      </c>
      <c r="AU9" s="55">
        <v>402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28.4</v>
      </c>
      <c r="C10" s="55">
        <v>40</v>
      </c>
      <c r="D10" s="150"/>
      <c r="E10" s="75">
        <f t="shared" si="1"/>
        <v>8</v>
      </c>
      <c r="F10" s="54">
        <v>27.35</v>
      </c>
      <c r="G10" s="55">
        <v>390</v>
      </c>
      <c r="H10" s="150"/>
      <c r="I10" s="75">
        <f t="shared" si="2"/>
        <v>8</v>
      </c>
      <c r="J10" s="54">
        <v>61.4</v>
      </c>
      <c r="K10" s="55">
        <v>1457</v>
      </c>
      <c r="L10" s="150"/>
      <c r="M10" s="75">
        <f t="shared" si="3"/>
        <v>8</v>
      </c>
      <c r="N10" s="54">
        <v>13.1</v>
      </c>
      <c r="O10" s="55">
        <v>40</v>
      </c>
      <c r="P10" s="150"/>
      <c r="Q10" s="75">
        <f t="shared" si="4"/>
        <v>8</v>
      </c>
      <c r="R10" s="54">
        <v>11.4</v>
      </c>
      <c r="S10" s="55">
        <v>60</v>
      </c>
      <c r="T10" s="150"/>
      <c r="U10" s="75">
        <f t="shared" si="5"/>
        <v>8</v>
      </c>
      <c r="V10" s="54">
        <v>154.47999999999999</v>
      </c>
      <c r="W10" s="55">
        <v>1552</v>
      </c>
      <c r="X10" s="150"/>
      <c r="Y10" s="75">
        <f t="shared" si="6"/>
        <v>8</v>
      </c>
      <c r="Z10" s="54">
        <v>17.399999999999999</v>
      </c>
      <c r="AA10" s="55">
        <v>70</v>
      </c>
      <c r="AB10" s="150"/>
      <c r="AC10" s="75">
        <f t="shared" si="7"/>
        <v>8</v>
      </c>
      <c r="AD10" s="54">
        <v>23.2</v>
      </c>
      <c r="AE10" s="55">
        <v>640</v>
      </c>
      <c r="AF10" s="150"/>
      <c r="AG10" s="75">
        <f t="shared" si="8"/>
        <v>8</v>
      </c>
      <c r="AH10" s="54">
        <v>25.2</v>
      </c>
      <c r="AI10" s="49">
        <v>115</v>
      </c>
      <c r="AJ10" s="150"/>
      <c r="AK10" s="75">
        <f t="shared" si="9"/>
        <v>8</v>
      </c>
      <c r="AL10" s="54">
        <v>15</v>
      </c>
      <c r="AM10" s="55">
        <v>75</v>
      </c>
      <c r="AN10" s="150"/>
      <c r="AO10" s="75">
        <f t="shared" si="10"/>
        <v>8</v>
      </c>
      <c r="AP10" s="54">
        <v>44.599999999999994</v>
      </c>
      <c r="AQ10" s="55">
        <v>750</v>
      </c>
      <c r="AR10" s="150"/>
      <c r="AS10" s="75">
        <f t="shared" si="11"/>
        <v>8</v>
      </c>
      <c r="AT10" s="54">
        <v>11.6</v>
      </c>
      <c r="AU10" s="55">
        <v>40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14.190000000000001</v>
      </c>
      <c r="C11" s="55">
        <v>55</v>
      </c>
      <c r="D11" s="150"/>
      <c r="E11" s="75">
        <f t="shared" si="1"/>
        <v>9</v>
      </c>
      <c r="F11" s="54">
        <v>32.089999999999996</v>
      </c>
      <c r="G11" s="55">
        <v>494</v>
      </c>
      <c r="H11" s="150"/>
      <c r="I11" s="75">
        <f t="shared" si="2"/>
        <v>9</v>
      </c>
      <c r="J11" s="54">
        <v>72.22</v>
      </c>
      <c r="K11" s="55">
        <v>671</v>
      </c>
      <c r="L11" s="150"/>
      <c r="M11" s="75">
        <f t="shared" si="3"/>
        <v>9</v>
      </c>
      <c r="N11" s="54">
        <v>16.3</v>
      </c>
      <c r="O11" s="55">
        <v>150</v>
      </c>
      <c r="P11" s="150"/>
      <c r="Q11" s="75">
        <f t="shared" si="4"/>
        <v>9</v>
      </c>
      <c r="R11" s="54">
        <v>16.899999999999999</v>
      </c>
      <c r="S11" s="55">
        <v>80</v>
      </c>
      <c r="T11" s="150"/>
      <c r="U11" s="75">
        <f t="shared" si="5"/>
        <v>9</v>
      </c>
      <c r="V11" s="54">
        <v>19.5</v>
      </c>
      <c r="W11" s="55">
        <v>450</v>
      </c>
      <c r="X11" s="150"/>
      <c r="Y11" s="75">
        <f t="shared" si="6"/>
        <v>9</v>
      </c>
      <c r="Z11" s="54">
        <v>14.36</v>
      </c>
      <c r="AA11" s="55">
        <v>343</v>
      </c>
      <c r="AB11" s="150"/>
      <c r="AC11" s="75">
        <f t="shared" si="7"/>
        <v>9</v>
      </c>
      <c r="AD11" s="54">
        <v>38.18</v>
      </c>
      <c r="AE11" s="55">
        <v>627</v>
      </c>
      <c r="AF11" s="150"/>
      <c r="AG11" s="75">
        <f t="shared" si="8"/>
        <v>9</v>
      </c>
      <c r="AH11" s="54">
        <v>8.99</v>
      </c>
      <c r="AI11" s="55">
        <v>55</v>
      </c>
      <c r="AJ11" s="150"/>
      <c r="AK11" s="75">
        <f t="shared" si="9"/>
        <v>9</v>
      </c>
      <c r="AL11" s="54">
        <v>20.07</v>
      </c>
      <c r="AM11" s="55">
        <v>30</v>
      </c>
      <c r="AN11" s="150"/>
      <c r="AO11" s="75">
        <f t="shared" si="10"/>
        <v>9</v>
      </c>
      <c r="AP11" s="54">
        <v>64.900000000000006</v>
      </c>
      <c r="AQ11" s="55">
        <v>755</v>
      </c>
      <c r="AR11" s="150"/>
      <c r="AS11" s="75">
        <f t="shared" si="11"/>
        <v>9</v>
      </c>
      <c r="AT11" s="54">
        <v>12.5</v>
      </c>
      <c r="AU11" s="55">
        <v>10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13.2</v>
      </c>
      <c r="C12" s="55">
        <v>45</v>
      </c>
      <c r="D12" s="150"/>
      <c r="E12" s="75">
        <f t="shared" si="1"/>
        <v>10</v>
      </c>
      <c r="F12" s="54">
        <v>7.65</v>
      </c>
      <c r="G12" s="55">
        <v>210</v>
      </c>
      <c r="H12" s="150"/>
      <c r="I12" s="75">
        <f t="shared" si="2"/>
        <v>10</v>
      </c>
      <c r="J12" s="54">
        <v>13.72</v>
      </c>
      <c r="K12" s="55">
        <v>65</v>
      </c>
      <c r="L12" s="150"/>
      <c r="M12" s="75">
        <f t="shared" si="3"/>
        <v>10</v>
      </c>
      <c r="N12" s="54">
        <v>10.860000000000001</v>
      </c>
      <c r="O12" s="55">
        <v>53</v>
      </c>
      <c r="P12" s="150"/>
      <c r="Q12" s="75">
        <f t="shared" si="4"/>
        <v>10</v>
      </c>
      <c r="R12" s="54">
        <v>35.509999999999991</v>
      </c>
      <c r="S12" s="55">
        <v>588</v>
      </c>
      <c r="T12" s="150"/>
      <c r="U12" s="75">
        <f t="shared" si="5"/>
        <v>10</v>
      </c>
      <c r="V12" s="54">
        <v>36.94</v>
      </c>
      <c r="W12" s="55">
        <v>445</v>
      </c>
      <c r="X12" s="150"/>
      <c r="Y12" s="75">
        <f t="shared" si="6"/>
        <v>10</v>
      </c>
      <c r="Z12" s="54">
        <v>7.28</v>
      </c>
      <c r="AA12" s="55">
        <v>43</v>
      </c>
      <c r="AB12" s="150"/>
      <c r="AC12" s="75">
        <f t="shared" si="7"/>
        <v>10</v>
      </c>
      <c r="AD12" s="54">
        <v>98.16</v>
      </c>
      <c r="AE12" s="55">
        <v>1445</v>
      </c>
      <c r="AF12" s="150"/>
      <c r="AG12" s="75">
        <f t="shared" si="8"/>
        <v>10</v>
      </c>
      <c r="AH12" s="54">
        <v>13.5</v>
      </c>
      <c r="AI12" s="49">
        <v>10</v>
      </c>
      <c r="AJ12" s="150"/>
      <c r="AK12" s="75">
        <f t="shared" si="9"/>
        <v>10</v>
      </c>
      <c r="AL12" s="54">
        <v>22.189999999999998</v>
      </c>
      <c r="AM12" s="55">
        <v>523</v>
      </c>
      <c r="AN12" s="150"/>
      <c r="AO12" s="75">
        <f t="shared" si="10"/>
        <v>10</v>
      </c>
      <c r="AP12" s="54">
        <v>9.5</v>
      </c>
      <c r="AQ12" s="55">
        <v>30</v>
      </c>
      <c r="AR12" s="150"/>
      <c r="AS12" s="75">
        <f t="shared" si="11"/>
        <v>10</v>
      </c>
      <c r="AT12" s="54">
        <v>16.3</v>
      </c>
      <c r="AU12" s="55">
        <v>350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31.2</v>
      </c>
      <c r="C13" s="55">
        <v>444</v>
      </c>
      <c r="D13" s="150"/>
      <c r="E13" s="75">
        <f t="shared" si="1"/>
        <v>11</v>
      </c>
      <c r="F13" s="54">
        <v>22.9</v>
      </c>
      <c r="G13" s="55">
        <v>153</v>
      </c>
      <c r="H13" s="150"/>
      <c r="I13" s="75">
        <f t="shared" si="2"/>
        <v>11</v>
      </c>
      <c r="J13" s="54">
        <v>18</v>
      </c>
      <c r="K13" s="55">
        <v>110</v>
      </c>
      <c r="L13" s="150"/>
      <c r="M13" s="75">
        <f t="shared" si="3"/>
        <v>11</v>
      </c>
      <c r="N13" s="54">
        <v>19.7</v>
      </c>
      <c r="O13" s="55">
        <v>220</v>
      </c>
      <c r="P13" s="150"/>
      <c r="Q13" s="75">
        <f t="shared" si="4"/>
        <v>11</v>
      </c>
      <c r="R13" s="54">
        <v>23</v>
      </c>
      <c r="S13" s="55">
        <v>385</v>
      </c>
      <c r="T13" s="150"/>
      <c r="U13" s="75">
        <f t="shared" si="5"/>
        <v>11</v>
      </c>
      <c r="V13" s="54">
        <v>38.42</v>
      </c>
      <c r="W13" s="55">
        <v>220</v>
      </c>
      <c r="X13" s="150"/>
      <c r="Y13" s="75">
        <f t="shared" si="6"/>
        <v>11</v>
      </c>
      <c r="Z13" s="54">
        <v>15.82</v>
      </c>
      <c r="AA13" s="55">
        <v>225</v>
      </c>
      <c r="AB13" s="150"/>
      <c r="AC13" s="75">
        <f t="shared" si="7"/>
        <v>11</v>
      </c>
      <c r="AD13" s="54">
        <v>9.66</v>
      </c>
      <c r="AE13" s="55">
        <v>60</v>
      </c>
      <c r="AF13" s="150"/>
      <c r="AG13" s="75">
        <f t="shared" si="8"/>
        <v>11</v>
      </c>
      <c r="AH13" s="54">
        <v>9.1</v>
      </c>
      <c r="AI13" s="55">
        <v>250</v>
      </c>
      <c r="AJ13" s="150"/>
      <c r="AK13" s="75">
        <f t="shared" si="9"/>
        <v>11</v>
      </c>
      <c r="AL13" s="54">
        <v>25</v>
      </c>
      <c r="AM13" s="55">
        <v>300</v>
      </c>
      <c r="AN13" s="150"/>
      <c r="AO13" s="75">
        <f t="shared" si="10"/>
        <v>11</v>
      </c>
      <c r="AP13" s="54">
        <v>14.57</v>
      </c>
      <c r="AQ13" s="55">
        <v>21</v>
      </c>
      <c r="AR13" s="150"/>
      <c r="AS13" s="75">
        <f t="shared" si="11"/>
        <v>11</v>
      </c>
      <c r="AT13" s="54"/>
      <c r="AU13" s="55"/>
      <c r="AV13" s="150"/>
      <c r="AW13" s="67"/>
    </row>
    <row r="14" spans="1:49" s="49" customFormat="1" ht="11.25" x14ac:dyDescent="0.2">
      <c r="A14" s="73">
        <f t="shared" si="0"/>
        <v>12</v>
      </c>
      <c r="B14" s="54">
        <v>35.299999999999997</v>
      </c>
      <c r="C14" s="55">
        <v>225</v>
      </c>
      <c r="D14" s="150"/>
      <c r="E14" s="75">
        <f t="shared" si="1"/>
        <v>12</v>
      </c>
      <c r="F14" s="54">
        <v>14</v>
      </c>
      <c r="G14" s="55">
        <v>10</v>
      </c>
      <c r="H14" s="150"/>
      <c r="I14" s="75">
        <f t="shared" si="2"/>
        <v>12</v>
      </c>
      <c r="J14" s="54">
        <v>18.600000000000001</v>
      </c>
      <c r="K14" s="55">
        <v>110</v>
      </c>
      <c r="L14" s="150"/>
      <c r="M14" s="75">
        <f t="shared" si="3"/>
        <v>12</v>
      </c>
      <c r="N14" s="54">
        <v>41.87</v>
      </c>
      <c r="O14" s="55">
        <v>750</v>
      </c>
      <c r="P14" s="150"/>
      <c r="Q14" s="75">
        <f t="shared" si="4"/>
        <v>12</v>
      </c>
      <c r="R14" s="54">
        <v>19</v>
      </c>
      <c r="S14" s="55">
        <v>90</v>
      </c>
      <c r="T14" s="150"/>
      <c r="U14" s="75">
        <f t="shared" si="5"/>
        <v>12</v>
      </c>
      <c r="V14" s="54">
        <v>49.719999999999992</v>
      </c>
      <c r="W14" s="55">
        <v>416</v>
      </c>
      <c r="X14" s="150"/>
      <c r="Y14" s="75">
        <f t="shared" si="6"/>
        <v>12</v>
      </c>
      <c r="Z14" s="54">
        <v>38.459999999999987</v>
      </c>
      <c r="AA14" s="55">
        <v>638</v>
      </c>
      <c r="AB14" s="150">
        <v>4.6527777777777779E-2</v>
      </c>
      <c r="AC14" s="75">
        <f t="shared" si="7"/>
        <v>12</v>
      </c>
      <c r="AD14" s="54">
        <v>10.66</v>
      </c>
      <c r="AE14" s="78">
        <v>90</v>
      </c>
      <c r="AF14" s="150"/>
      <c r="AG14" s="75">
        <f t="shared" si="8"/>
        <v>12</v>
      </c>
      <c r="AH14" s="54">
        <v>12.4</v>
      </c>
      <c r="AI14" s="55">
        <v>45</v>
      </c>
      <c r="AJ14" s="150"/>
      <c r="AK14" s="75">
        <f t="shared" si="9"/>
        <v>12</v>
      </c>
      <c r="AL14" s="54">
        <v>26.58</v>
      </c>
      <c r="AM14" s="55">
        <v>477</v>
      </c>
      <c r="AN14" s="150">
        <v>4.4444444444444446E-2</v>
      </c>
      <c r="AO14" s="75">
        <f t="shared" si="10"/>
        <v>12</v>
      </c>
      <c r="AP14" s="54">
        <v>25.6</v>
      </c>
      <c r="AQ14" s="55">
        <v>25</v>
      </c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>
        <v>12.3</v>
      </c>
      <c r="C15" s="55">
        <v>65</v>
      </c>
      <c r="D15" s="150"/>
      <c r="E15" s="75">
        <f t="shared" si="1"/>
        <v>13</v>
      </c>
      <c r="F15" s="54">
        <v>13.9</v>
      </c>
      <c r="G15" s="55">
        <v>25</v>
      </c>
      <c r="H15" s="150"/>
      <c r="I15" s="75">
        <f t="shared" si="2"/>
        <v>13</v>
      </c>
      <c r="J15" s="54">
        <v>17.5</v>
      </c>
      <c r="K15" s="55">
        <v>110</v>
      </c>
      <c r="L15" s="150"/>
      <c r="M15" s="75">
        <f t="shared" si="3"/>
        <v>13</v>
      </c>
      <c r="N15" s="54">
        <v>20.420000000000002</v>
      </c>
      <c r="O15" s="55">
        <v>368</v>
      </c>
      <c r="P15" s="150"/>
      <c r="Q15" s="75">
        <f t="shared" si="4"/>
        <v>13</v>
      </c>
      <c r="R15" s="54">
        <v>18.78</v>
      </c>
      <c r="S15" s="55">
        <v>103</v>
      </c>
      <c r="T15" s="150"/>
      <c r="U15" s="75">
        <f t="shared" si="5"/>
        <v>13</v>
      </c>
      <c r="V15" s="54">
        <v>20</v>
      </c>
      <c r="W15" s="55">
        <v>150</v>
      </c>
      <c r="X15" s="150"/>
      <c r="Y15" s="75">
        <f t="shared" si="6"/>
        <v>13</v>
      </c>
      <c r="Z15" s="54">
        <v>24.2</v>
      </c>
      <c r="AA15" s="55">
        <v>75</v>
      </c>
      <c r="AB15" s="150">
        <v>8.3333333333333329E-2</v>
      </c>
      <c r="AC15" s="75">
        <f t="shared" si="7"/>
        <v>13</v>
      </c>
      <c r="AD15" s="54">
        <v>22</v>
      </c>
      <c r="AE15" s="55">
        <v>265</v>
      </c>
      <c r="AF15" s="150"/>
      <c r="AG15" s="75">
        <f t="shared" si="8"/>
        <v>13</v>
      </c>
      <c r="AH15" s="54">
        <v>41.3</v>
      </c>
      <c r="AI15" s="55">
        <v>215</v>
      </c>
      <c r="AJ15" s="150"/>
      <c r="AK15" s="75">
        <f t="shared" si="9"/>
        <v>13</v>
      </c>
      <c r="AL15" s="54">
        <v>17.399999999999999</v>
      </c>
      <c r="AM15" s="55">
        <v>260</v>
      </c>
      <c r="AN15" s="150"/>
      <c r="AO15" s="75">
        <f t="shared" si="10"/>
        <v>13</v>
      </c>
      <c r="AP15" s="54">
        <v>5.69</v>
      </c>
      <c r="AQ15" s="55">
        <v>40</v>
      </c>
      <c r="AR15" s="150"/>
      <c r="AS15" s="75">
        <f t="shared" si="11"/>
        <v>13</v>
      </c>
      <c r="AT15" s="54">
        <v>26.75</v>
      </c>
      <c r="AU15" s="55">
        <v>409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10.27</v>
      </c>
      <c r="C16" s="55">
        <v>60</v>
      </c>
      <c r="D16" s="150"/>
      <c r="E16" s="75">
        <f t="shared" si="1"/>
        <v>14</v>
      </c>
      <c r="F16" s="54">
        <v>40</v>
      </c>
      <c r="G16" s="55">
        <v>35</v>
      </c>
      <c r="H16" s="150"/>
      <c r="I16" s="75">
        <f t="shared" si="2"/>
        <v>14</v>
      </c>
      <c r="J16" s="54">
        <v>21.6</v>
      </c>
      <c r="K16" s="55">
        <v>140</v>
      </c>
      <c r="L16" s="150"/>
      <c r="M16" s="75">
        <f t="shared" si="3"/>
        <v>14</v>
      </c>
      <c r="N16" s="54">
        <v>9.0399999999999991</v>
      </c>
      <c r="O16" s="55">
        <v>48</v>
      </c>
      <c r="P16" s="150"/>
      <c r="Q16" s="75">
        <f t="shared" si="4"/>
        <v>14</v>
      </c>
      <c r="R16" s="54">
        <v>14.5</v>
      </c>
      <c r="S16" s="49">
        <v>130</v>
      </c>
      <c r="T16" s="150"/>
      <c r="U16" s="75">
        <f t="shared" si="5"/>
        <v>14</v>
      </c>
      <c r="V16" s="54"/>
      <c r="W16" s="55"/>
      <c r="X16" s="150"/>
      <c r="Y16" s="75">
        <f t="shared" si="6"/>
        <v>14</v>
      </c>
      <c r="Z16" s="54">
        <v>9.2100000000000009</v>
      </c>
      <c r="AA16" s="55">
        <v>53</v>
      </c>
      <c r="AB16" s="150"/>
      <c r="AC16" s="75">
        <f t="shared" si="7"/>
        <v>14</v>
      </c>
      <c r="AD16" s="54">
        <v>33.700000000000003</v>
      </c>
      <c r="AE16" s="55">
        <v>496</v>
      </c>
      <c r="AF16" s="150"/>
      <c r="AG16" s="75">
        <f t="shared" si="8"/>
        <v>14</v>
      </c>
      <c r="AH16" s="54">
        <v>66.3</v>
      </c>
      <c r="AI16" s="55">
        <v>750</v>
      </c>
      <c r="AJ16" s="150"/>
      <c r="AK16" s="75">
        <f t="shared" si="9"/>
        <v>14</v>
      </c>
      <c r="AL16" s="54">
        <v>11.49</v>
      </c>
      <c r="AM16" s="55">
        <v>70</v>
      </c>
      <c r="AN16" s="150"/>
      <c r="AO16" s="75">
        <f t="shared" si="10"/>
        <v>14</v>
      </c>
      <c r="AP16" s="54">
        <v>6.8</v>
      </c>
      <c r="AQ16" s="55">
        <v>20</v>
      </c>
      <c r="AR16" s="150"/>
      <c r="AS16" s="75">
        <f t="shared" si="11"/>
        <v>14</v>
      </c>
      <c r="AT16" s="54">
        <v>12.46</v>
      </c>
      <c r="AU16" s="55">
        <v>351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16.099999999999998</v>
      </c>
      <c r="C17" s="55">
        <v>97</v>
      </c>
      <c r="D17" s="150"/>
      <c r="E17" s="75">
        <f t="shared" si="1"/>
        <v>15</v>
      </c>
      <c r="F17" s="54">
        <v>12.6</v>
      </c>
      <c r="G17" s="55">
        <v>212</v>
      </c>
      <c r="H17" s="150"/>
      <c r="I17" s="75">
        <f t="shared" si="2"/>
        <v>15</v>
      </c>
      <c r="J17" s="54">
        <v>15</v>
      </c>
      <c r="K17" s="55">
        <v>50</v>
      </c>
      <c r="L17" s="150"/>
      <c r="M17" s="75">
        <f t="shared" si="3"/>
        <v>15</v>
      </c>
      <c r="N17" s="54">
        <v>9</v>
      </c>
      <c r="O17" s="55">
        <v>33</v>
      </c>
      <c r="P17" s="150"/>
      <c r="Q17" s="75">
        <f t="shared" si="4"/>
        <v>15</v>
      </c>
      <c r="R17" s="54">
        <v>9.86</v>
      </c>
      <c r="S17" s="49">
        <v>58</v>
      </c>
      <c r="T17" s="150"/>
      <c r="U17" s="75">
        <f t="shared" si="5"/>
        <v>15</v>
      </c>
      <c r="V17" s="54">
        <v>10</v>
      </c>
      <c r="W17" s="55">
        <v>15</v>
      </c>
      <c r="X17" s="150"/>
      <c r="Y17" s="75">
        <f t="shared" si="6"/>
        <v>15</v>
      </c>
      <c r="Z17" s="54">
        <v>21.074999999999999</v>
      </c>
      <c r="AA17" s="55">
        <v>12</v>
      </c>
      <c r="AB17" s="150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50"/>
      <c r="AG17" s="75">
        <f t="shared" si="8"/>
        <v>15</v>
      </c>
      <c r="AH17" s="54">
        <v>10.84</v>
      </c>
      <c r="AI17" s="55">
        <v>65</v>
      </c>
      <c r="AJ17" s="150"/>
      <c r="AK17" s="75">
        <f t="shared" si="9"/>
        <v>15</v>
      </c>
      <c r="AL17" s="54">
        <v>16</v>
      </c>
      <c r="AM17" s="55">
        <v>65</v>
      </c>
      <c r="AN17" s="150"/>
      <c r="AO17" s="75">
        <f t="shared" si="10"/>
        <v>15</v>
      </c>
      <c r="AP17" s="54">
        <v>41.28</v>
      </c>
      <c r="AQ17" s="55">
        <v>680</v>
      </c>
      <c r="AR17" s="150">
        <v>4.1666666666666664E-2</v>
      </c>
      <c r="AS17" s="75">
        <f t="shared" si="11"/>
        <v>15</v>
      </c>
      <c r="AT17" s="54">
        <v>59</v>
      </c>
      <c r="AU17" s="55">
        <v>335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14.8</v>
      </c>
      <c r="C18" s="55">
        <v>330</v>
      </c>
      <c r="D18" s="150"/>
      <c r="E18" s="75">
        <f t="shared" si="1"/>
        <v>16</v>
      </c>
      <c r="F18" s="54">
        <v>41.3</v>
      </c>
      <c r="G18" s="55">
        <v>757</v>
      </c>
      <c r="H18" s="150"/>
      <c r="I18" s="75">
        <f t="shared" si="2"/>
        <v>16</v>
      </c>
      <c r="J18" s="54">
        <v>35.1</v>
      </c>
      <c r="K18" s="55">
        <v>385</v>
      </c>
      <c r="L18" s="150"/>
      <c r="M18" s="75">
        <f t="shared" si="3"/>
        <v>16</v>
      </c>
      <c r="N18" s="54">
        <v>12.7</v>
      </c>
      <c r="O18" s="55">
        <v>45</v>
      </c>
      <c r="P18" s="150"/>
      <c r="Q18" s="75">
        <f t="shared" si="4"/>
        <v>16</v>
      </c>
      <c r="R18" s="54">
        <v>26</v>
      </c>
      <c r="S18" s="55">
        <v>477</v>
      </c>
      <c r="T18" s="150"/>
      <c r="U18" s="75">
        <f t="shared" si="5"/>
        <v>16</v>
      </c>
      <c r="V18" s="54"/>
      <c r="W18" s="55"/>
      <c r="X18" s="150"/>
      <c r="Y18" s="75">
        <f t="shared" si="6"/>
        <v>16</v>
      </c>
      <c r="Z18" s="54">
        <v>8.6999999999999993</v>
      </c>
      <c r="AA18" s="55">
        <v>48</v>
      </c>
      <c r="AB18" s="150"/>
      <c r="AC18" s="75">
        <f t="shared" si="7"/>
        <v>16</v>
      </c>
      <c r="AD18" s="54">
        <v>34.299999999999997</v>
      </c>
      <c r="AE18" s="55">
        <v>390</v>
      </c>
      <c r="AF18" s="150"/>
      <c r="AG18" s="75">
        <f t="shared" si="8"/>
        <v>16</v>
      </c>
      <c r="AH18" s="54">
        <v>21.61</v>
      </c>
      <c r="AI18" s="55">
        <v>108</v>
      </c>
      <c r="AJ18" s="150"/>
      <c r="AK18" s="75">
        <f t="shared" si="9"/>
        <v>16</v>
      </c>
      <c r="AL18" s="54">
        <v>11.3</v>
      </c>
      <c r="AM18" s="55">
        <v>60</v>
      </c>
      <c r="AN18" s="150"/>
      <c r="AO18" s="75">
        <f t="shared" si="10"/>
        <v>16</v>
      </c>
      <c r="AP18" s="54">
        <v>46.870000000000005</v>
      </c>
      <c r="AQ18" s="55">
        <v>755</v>
      </c>
      <c r="AR18" s="150"/>
      <c r="AS18" s="75">
        <f t="shared" si="11"/>
        <v>16</v>
      </c>
      <c r="AT18" s="54">
        <v>15.75</v>
      </c>
      <c r="AU18" s="55">
        <v>150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15.559999999999999</v>
      </c>
      <c r="C19" s="55">
        <v>363</v>
      </c>
      <c r="D19" s="150"/>
      <c r="E19" s="75">
        <f t="shared" si="1"/>
        <v>17</v>
      </c>
      <c r="F19" s="54">
        <v>25.21</v>
      </c>
      <c r="G19" s="55">
        <v>29</v>
      </c>
      <c r="H19" s="150"/>
      <c r="I19" s="75">
        <f t="shared" si="2"/>
        <v>17</v>
      </c>
      <c r="J19" s="54">
        <v>17.2</v>
      </c>
      <c r="K19" s="55">
        <v>262</v>
      </c>
      <c r="L19" s="150"/>
      <c r="M19" s="75">
        <f t="shared" si="3"/>
        <v>17</v>
      </c>
      <c r="N19" s="54">
        <v>18</v>
      </c>
      <c r="O19" s="55">
        <v>75</v>
      </c>
      <c r="P19" s="150"/>
      <c r="Q19" s="75">
        <f t="shared" si="4"/>
        <v>17</v>
      </c>
      <c r="R19" s="54">
        <v>26</v>
      </c>
      <c r="S19" s="55">
        <v>477</v>
      </c>
      <c r="T19" s="150"/>
      <c r="U19" s="75">
        <f t="shared" si="5"/>
        <v>17</v>
      </c>
      <c r="V19" s="54">
        <v>28.270000000000003</v>
      </c>
      <c r="W19" s="55">
        <v>385</v>
      </c>
      <c r="X19" s="150"/>
      <c r="Y19" s="75">
        <f t="shared" si="6"/>
        <v>17</v>
      </c>
      <c r="Z19" s="54">
        <v>10.3</v>
      </c>
      <c r="AA19" s="55">
        <v>100</v>
      </c>
      <c r="AB19" s="150"/>
      <c r="AC19" s="75">
        <f t="shared" si="7"/>
        <v>17</v>
      </c>
      <c r="AD19" s="54">
        <v>17.900000000000002</v>
      </c>
      <c r="AE19" s="55">
        <v>75</v>
      </c>
      <c r="AF19" s="150"/>
      <c r="AG19" s="75">
        <f t="shared" si="8"/>
        <v>17</v>
      </c>
      <c r="AH19" s="54">
        <v>19.32</v>
      </c>
      <c r="AI19" s="55">
        <v>398</v>
      </c>
      <c r="AJ19" s="150"/>
      <c r="AK19" s="75">
        <f t="shared" si="9"/>
        <v>17</v>
      </c>
      <c r="AL19" s="54">
        <v>11.5</v>
      </c>
      <c r="AM19" s="55">
        <v>60</v>
      </c>
      <c r="AN19" s="150"/>
      <c r="AO19" s="75">
        <f t="shared" si="10"/>
        <v>17</v>
      </c>
      <c r="AP19" s="54">
        <v>20.25</v>
      </c>
      <c r="AQ19" s="55">
        <v>10</v>
      </c>
      <c r="AR19" s="150"/>
      <c r="AS19" s="75">
        <f t="shared" si="11"/>
        <v>17</v>
      </c>
      <c r="AT19" s="54">
        <v>16.45</v>
      </c>
      <c r="AU19" s="55">
        <v>150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67.06</v>
      </c>
      <c r="C20" s="55">
        <v>438</v>
      </c>
      <c r="D20" s="150"/>
      <c r="E20" s="75">
        <f t="shared" si="1"/>
        <v>18</v>
      </c>
      <c r="F20" s="54">
        <v>11.72</v>
      </c>
      <c r="G20" s="55">
        <v>115</v>
      </c>
      <c r="H20" s="150"/>
      <c r="I20" s="75">
        <f t="shared" si="2"/>
        <v>18</v>
      </c>
      <c r="J20" s="54">
        <v>12.5</v>
      </c>
      <c r="K20" s="55">
        <v>50</v>
      </c>
      <c r="L20" s="150"/>
      <c r="M20" s="75">
        <f t="shared" si="3"/>
        <v>18</v>
      </c>
      <c r="N20" s="54">
        <v>20.6</v>
      </c>
      <c r="O20" s="55">
        <v>75</v>
      </c>
      <c r="P20" s="150"/>
      <c r="Q20" s="75">
        <f t="shared" si="4"/>
        <v>18</v>
      </c>
      <c r="R20" s="54">
        <v>59.6</v>
      </c>
      <c r="S20" s="55">
        <v>955</v>
      </c>
      <c r="T20" s="150"/>
      <c r="U20" s="75">
        <f t="shared" si="5"/>
        <v>18</v>
      </c>
      <c r="V20" s="54">
        <v>58.900000000000006</v>
      </c>
      <c r="W20" s="55">
        <v>895</v>
      </c>
      <c r="X20" s="150"/>
      <c r="Y20" s="75">
        <f t="shared" si="6"/>
        <v>18</v>
      </c>
      <c r="Z20" s="54">
        <v>16</v>
      </c>
      <c r="AA20" s="55">
        <v>65</v>
      </c>
      <c r="AB20" s="150"/>
      <c r="AC20" s="75">
        <f t="shared" si="7"/>
        <v>18</v>
      </c>
      <c r="AD20" s="54">
        <v>14.6</v>
      </c>
      <c r="AE20" s="55">
        <v>85</v>
      </c>
      <c r="AF20" s="150"/>
      <c r="AG20" s="75">
        <f t="shared" si="8"/>
        <v>18</v>
      </c>
      <c r="AH20" s="54">
        <v>10.4</v>
      </c>
      <c r="AI20" s="55">
        <v>50</v>
      </c>
      <c r="AJ20" s="150"/>
      <c r="AK20" s="75">
        <f t="shared" si="9"/>
        <v>18</v>
      </c>
      <c r="AL20" s="54">
        <v>43.47</v>
      </c>
      <c r="AM20" s="55">
        <v>1437</v>
      </c>
      <c r="AN20" s="150"/>
      <c r="AO20" s="75">
        <f t="shared" si="10"/>
        <v>18</v>
      </c>
      <c r="AP20" s="54">
        <v>10.4</v>
      </c>
      <c r="AQ20" s="55">
        <v>40</v>
      </c>
      <c r="AR20" s="150"/>
      <c r="AS20" s="75">
        <f t="shared" si="11"/>
        <v>18</v>
      </c>
      <c r="AT20" s="54">
        <v>13.42</v>
      </c>
      <c r="AU20" s="55">
        <v>15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27.66</v>
      </c>
      <c r="C21" s="55">
        <v>105</v>
      </c>
      <c r="D21" s="150"/>
      <c r="E21" s="75">
        <f t="shared" si="1"/>
        <v>19</v>
      </c>
      <c r="F21" s="54">
        <v>25.21</v>
      </c>
      <c r="G21" s="55">
        <v>29</v>
      </c>
      <c r="H21" s="150"/>
      <c r="I21" s="75">
        <f t="shared" si="2"/>
        <v>19</v>
      </c>
      <c r="J21" s="54">
        <v>21.6</v>
      </c>
      <c r="K21" s="55">
        <v>50</v>
      </c>
      <c r="L21" s="150"/>
      <c r="M21" s="75">
        <f t="shared" si="3"/>
        <v>19</v>
      </c>
      <c r="N21" s="54">
        <v>53.86</v>
      </c>
      <c r="O21" s="55">
        <v>584</v>
      </c>
      <c r="P21" s="150"/>
      <c r="Q21" s="75">
        <f t="shared" si="4"/>
        <v>19</v>
      </c>
      <c r="R21" s="54">
        <v>17.82</v>
      </c>
      <c r="S21" s="55">
        <v>160</v>
      </c>
      <c r="T21" s="150"/>
      <c r="U21" s="75">
        <f t="shared" si="5"/>
        <v>19</v>
      </c>
      <c r="V21" s="54">
        <v>37.200000000000003</v>
      </c>
      <c r="W21" s="55">
        <v>604</v>
      </c>
      <c r="X21" s="150"/>
      <c r="Y21" s="75">
        <f t="shared" si="6"/>
        <v>19</v>
      </c>
      <c r="Z21" s="54">
        <v>62.41</v>
      </c>
      <c r="AA21" s="55">
        <v>750</v>
      </c>
      <c r="AB21" s="150"/>
      <c r="AC21" s="75">
        <f t="shared" si="7"/>
        <v>19</v>
      </c>
      <c r="AD21" s="54">
        <v>14.8</v>
      </c>
      <c r="AE21" s="55">
        <v>330</v>
      </c>
      <c r="AF21" s="150"/>
      <c r="AG21" s="75">
        <f t="shared" si="8"/>
        <v>19</v>
      </c>
      <c r="AH21" s="54">
        <v>16.8</v>
      </c>
      <c r="AI21" s="55">
        <v>80</v>
      </c>
      <c r="AJ21" s="150"/>
      <c r="AK21" s="75">
        <f t="shared" si="9"/>
        <v>19</v>
      </c>
      <c r="AL21" s="54">
        <v>31.6</v>
      </c>
      <c r="AM21" s="55">
        <v>616</v>
      </c>
      <c r="AN21" s="150"/>
      <c r="AO21" s="75">
        <f t="shared" si="10"/>
        <v>19</v>
      </c>
      <c r="AP21" s="54">
        <v>21.3</v>
      </c>
      <c r="AQ21" s="55">
        <v>75</v>
      </c>
      <c r="AR21" s="150"/>
      <c r="AS21" s="75">
        <f t="shared" si="11"/>
        <v>19</v>
      </c>
      <c r="AT21" s="54">
        <v>10.3</v>
      </c>
      <c r="AU21" s="55">
        <v>15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10.5</v>
      </c>
      <c r="C22" s="55">
        <v>35</v>
      </c>
      <c r="D22" s="150"/>
      <c r="E22" s="75">
        <f t="shared" si="1"/>
        <v>20</v>
      </c>
      <c r="F22" s="54">
        <v>8.8099999999999987</v>
      </c>
      <c r="G22" s="55">
        <v>41</v>
      </c>
      <c r="H22" s="150"/>
      <c r="I22" s="75">
        <f t="shared" si="2"/>
        <v>20</v>
      </c>
      <c r="J22" s="54"/>
      <c r="K22" s="55"/>
      <c r="L22" s="150"/>
      <c r="M22" s="75">
        <f t="shared" si="3"/>
        <v>20</v>
      </c>
      <c r="N22" s="54">
        <v>44.1</v>
      </c>
      <c r="O22" s="55">
        <v>565</v>
      </c>
      <c r="P22" s="150">
        <v>0.10416666666666667</v>
      </c>
      <c r="Q22" s="75">
        <f t="shared" si="4"/>
        <v>20</v>
      </c>
      <c r="R22" s="54">
        <v>111.31</v>
      </c>
      <c r="S22" s="55">
        <v>1460</v>
      </c>
      <c r="T22" s="150"/>
      <c r="U22" s="75">
        <f t="shared" si="5"/>
        <v>20</v>
      </c>
      <c r="V22" s="54">
        <v>34.6</v>
      </c>
      <c r="W22" s="55">
        <v>200</v>
      </c>
      <c r="X22" s="150"/>
      <c r="Y22" s="75">
        <f t="shared" si="6"/>
        <v>20</v>
      </c>
      <c r="Z22" s="54">
        <v>18.71</v>
      </c>
      <c r="AA22" s="55">
        <v>409</v>
      </c>
      <c r="AB22" s="150"/>
      <c r="AC22" s="75">
        <f t="shared" si="7"/>
        <v>20</v>
      </c>
      <c r="AD22" s="54">
        <v>22.189999999999998</v>
      </c>
      <c r="AE22" s="55">
        <v>523</v>
      </c>
      <c r="AF22" s="150"/>
      <c r="AG22" s="75">
        <f t="shared" si="8"/>
        <v>20</v>
      </c>
      <c r="AH22" s="54">
        <v>50.999999999999993</v>
      </c>
      <c r="AI22" s="55">
        <v>450</v>
      </c>
      <c r="AJ22" s="150"/>
      <c r="AK22" s="75">
        <f t="shared" si="9"/>
        <v>20</v>
      </c>
      <c r="AL22" s="54">
        <v>15.77</v>
      </c>
      <c r="AM22" s="55">
        <v>45</v>
      </c>
      <c r="AN22" s="150"/>
      <c r="AO22" s="75">
        <f t="shared" si="10"/>
        <v>20</v>
      </c>
      <c r="AP22" s="54">
        <v>11.4</v>
      </c>
      <c r="AQ22" s="55">
        <v>45</v>
      </c>
      <c r="AR22" s="150"/>
      <c r="AS22" s="75">
        <f t="shared" si="11"/>
        <v>20</v>
      </c>
      <c r="AT22" s="54">
        <v>26.58</v>
      </c>
      <c r="AU22" s="55">
        <v>477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16.3</v>
      </c>
      <c r="C23" s="55">
        <v>20</v>
      </c>
      <c r="D23" s="150"/>
      <c r="E23" s="75">
        <f t="shared" si="1"/>
        <v>21</v>
      </c>
      <c r="F23" s="54">
        <v>14.36</v>
      </c>
      <c r="G23" s="55">
        <v>343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44.6</v>
      </c>
      <c r="O23" s="55">
        <v>630</v>
      </c>
      <c r="P23" s="150"/>
      <c r="Q23" s="75">
        <f t="shared" si="4"/>
        <v>21</v>
      </c>
      <c r="R23" s="54">
        <v>12.76</v>
      </c>
      <c r="S23" s="55">
        <v>73</v>
      </c>
      <c r="T23" s="150"/>
      <c r="U23" s="75">
        <f t="shared" si="5"/>
        <v>21</v>
      </c>
      <c r="V23" s="54">
        <v>26.03</v>
      </c>
      <c r="W23" s="55">
        <v>352</v>
      </c>
      <c r="X23" s="150"/>
      <c r="Y23" s="75">
        <f t="shared" si="6"/>
        <v>21</v>
      </c>
      <c r="Z23" s="54">
        <v>10.4</v>
      </c>
      <c r="AA23" s="55">
        <v>53</v>
      </c>
      <c r="AB23" s="150"/>
      <c r="AC23" s="75">
        <f t="shared" si="7"/>
        <v>21</v>
      </c>
      <c r="AD23" s="54">
        <v>16.02</v>
      </c>
      <c r="AE23" s="55">
        <v>225</v>
      </c>
      <c r="AF23" s="150"/>
      <c r="AG23" s="75">
        <f t="shared" si="8"/>
        <v>21</v>
      </c>
      <c r="AH23" s="54">
        <v>30.3</v>
      </c>
      <c r="AI23" s="55">
        <v>270</v>
      </c>
      <c r="AJ23" s="150">
        <v>2.6388888888888889E-2</v>
      </c>
      <c r="AK23" s="75">
        <f t="shared" si="9"/>
        <v>21</v>
      </c>
      <c r="AL23" s="54">
        <v>8.6</v>
      </c>
      <c r="AM23" s="55">
        <v>50</v>
      </c>
      <c r="AN23" s="150"/>
      <c r="AO23" s="75">
        <f t="shared" si="10"/>
        <v>21</v>
      </c>
      <c r="AP23" s="54">
        <v>31.5</v>
      </c>
      <c r="AQ23" s="55">
        <v>120</v>
      </c>
      <c r="AR23" s="150"/>
      <c r="AS23" s="75">
        <f t="shared" si="11"/>
        <v>21</v>
      </c>
      <c r="AT23" s="54">
        <v>45.08</v>
      </c>
      <c r="AU23" s="55">
        <v>607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13.48</v>
      </c>
      <c r="C24" s="55">
        <v>102</v>
      </c>
      <c r="D24" s="150"/>
      <c r="E24" s="75">
        <f t="shared" si="1"/>
        <v>22</v>
      </c>
      <c r="F24" s="54">
        <v>43.72999999999999</v>
      </c>
      <c r="G24" s="55">
        <v>590</v>
      </c>
      <c r="H24" s="150"/>
      <c r="I24" s="75">
        <f t="shared" si="2"/>
        <v>22</v>
      </c>
      <c r="J24" s="54"/>
      <c r="K24" s="55"/>
      <c r="L24" s="150"/>
      <c r="M24" s="75">
        <f t="shared" si="3"/>
        <v>22</v>
      </c>
      <c r="N24" s="54">
        <v>9</v>
      </c>
      <c r="O24" s="55">
        <v>15</v>
      </c>
      <c r="P24" s="150"/>
      <c r="Q24" s="75">
        <f t="shared" si="4"/>
        <v>22</v>
      </c>
      <c r="R24" s="54">
        <v>22.5</v>
      </c>
      <c r="S24" s="49">
        <v>230</v>
      </c>
      <c r="T24" s="150"/>
      <c r="U24" s="75">
        <f t="shared" si="5"/>
        <v>22</v>
      </c>
      <c r="V24" s="54"/>
      <c r="W24" s="55"/>
      <c r="X24" s="150"/>
      <c r="Y24" s="75">
        <f t="shared" si="6"/>
        <v>22</v>
      </c>
      <c r="Z24" s="54">
        <v>19.7</v>
      </c>
      <c r="AA24" s="55">
        <v>113</v>
      </c>
      <c r="AB24" s="150"/>
      <c r="AC24" s="75">
        <f t="shared" si="7"/>
        <v>22</v>
      </c>
      <c r="AD24" s="54">
        <v>14.8</v>
      </c>
      <c r="AE24" s="55">
        <v>350</v>
      </c>
      <c r="AF24" s="150"/>
      <c r="AG24" s="75">
        <f t="shared" si="8"/>
        <v>22</v>
      </c>
      <c r="AH24" s="54">
        <v>11.5</v>
      </c>
      <c r="AI24" s="55">
        <v>5</v>
      </c>
      <c r="AJ24" s="150"/>
      <c r="AK24" s="75">
        <f t="shared" si="9"/>
        <v>22</v>
      </c>
      <c r="AL24" s="54">
        <v>11.3</v>
      </c>
      <c r="AM24" s="55">
        <v>45</v>
      </c>
      <c r="AN24" s="150"/>
      <c r="AO24" s="75">
        <f t="shared" si="10"/>
        <v>22</v>
      </c>
      <c r="AP24" s="54">
        <v>65.2</v>
      </c>
      <c r="AQ24" s="55">
        <v>325</v>
      </c>
      <c r="AR24" s="150"/>
      <c r="AS24" s="75">
        <f t="shared" si="11"/>
        <v>22</v>
      </c>
      <c r="AT24" s="54">
        <v>14.6</v>
      </c>
      <c r="AU24" s="55">
        <v>45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14.5</v>
      </c>
      <c r="C25" s="55">
        <v>30</v>
      </c>
      <c r="D25" s="150"/>
      <c r="E25" s="75">
        <f t="shared" si="1"/>
        <v>23</v>
      </c>
      <c r="F25" s="54">
        <v>44.000000000000007</v>
      </c>
      <c r="G25" s="55">
        <v>484</v>
      </c>
      <c r="H25" s="150">
        <v>2.0833333333333332E-2</v>
      </c>
      <c r="I25" s="75">
        <f t="shared" si="2"/>
        <v>23</v>
      </c>
      <c r="J25" s="54"/>
      <c r="K25" s="55"/>
      <c r="L25" s="150"/>
      <c r="M25" s="75">
        <f t="shared" si="3"/>
        <v>23</v>
      </c>
      <c r="N25" s="54">
        <v>10.355</v>
      </c>
      <c r="O25" s="55">
        <v>32</v>
      </c>
      <c r="P25" s="150"/>
      <c r="Q25" s="75">
        <f t="shared" si="4"/>
        <v>23</v>
      </c>
      <c r="R25" s="54">
        <v>11.48</v>
      </c>
      <c r="S25" s="55">
        <v>100</v>
      </c>
      <c r="T25" s="150"/>
      <c r="U25" s="75">
        <f t="shared" si="5"/>
        <v>23</v>
      </c>
      <c r="V25" s="54">
        <v>7.8</v>
      </c>
      <c r="W25" s="55">
        <v>10</v>
      </c>
      <c r="X25" s="150"/>
      <c r="Y25" s="75">
        <f t="shared" si="6"/>
        <v>23</v>
      </c>
      <c r="Z25" s="54">
        <v>20.63</v>
      </c>
      <c r="AA25" s="55">
        <v>480</v>
      </c>
      <c r="AB25" s="150"/>
      <c r="AC25" s="75">
        <f t="shared" si="7"/>
        <v>23</v>
      </c>
      <c r="AD25" s="54">
        <v>23.18</v>
      </c>
      <c r="AE25" s="55">
        <v>220</v>
      </c>
      <c r="AF25" s="150"/>
      <c r="AG25" s="75">
        <f t="shared" si="8"/>
        <v>23</v>
      </c>
      <c r="AH25" s="54">
        <v>26.650000000000002</v>
      </c>
      <c r="AI25" s="55">
        <v>168</v>
      </c>
      <c r="AJ25" s="150"/>
      <c r="AK25" s="75">
        <f t="shared" si="9"/>
        <v>23</v>
      </c>
      <c r="AL25" s="54">
        <v>14.27</v>
      </c>
      <c r="AM25" s="55">
        <v>45</v>
      </c>
      <c r="AN25" s="150"/>
      <c r="AO25" s="75">
        <f t="shared" si="10"/>
        <v>23</v>
      </c>
      <c r="AP25" s="54">
        <v>52.87</v>
      </c>
      <c r="AQ25" s="55">
        <v>1290</v>
      </c>
      <c r="AR25" s="150"/>
      <c r="AS25" s="75">
        <f t="shared" si="11"/>
        <v>23</v>
      </c>
      <c r="AT25" s="54">
        <v>14.8</v>
      </c>
      <c r="AU25" s="55">
        <v>330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17.3</v>
      </c>
      <c r="C26" s="55">
        <v>238</v>
      </c>
      <c r="D26" s="150"/>
      <c r="E26" s="75">
        <f t="shared" si="1"/>
        <v>24</v>
      </c>
      <c r="F26" s="54">
        <v>24.95</v>
      </c>
      <c r="G26" s="55">
        <v>197</v>
      </c>
      <c r="H26" s="150"/>
      <c r="I26" s="75">
        <f t="shared" si="2"/>
        <v>24</v>
      </c>
      <c r="J26" s="54">
        <v>11.1</v>
      </c>
      <c r="K26" s="55">
        <v>35</v>
      </c>
      <c r="L26" s="150"/>
      <c r="M26" s="75">
        <f t="shared" si="3"/>
        <v>24</v>
      </c>
      <c r="N26" s="54">
        <v>9.86</v>
      </c>
      <c r="O26" s="55">
        <v>58</v>
      </c>
      <c r="P26" s="150"/>
      <c r="Q26" s="75">
        <f t="shared" si="4"/>
        <v>24</v>
      </c>
      <c r="R26" s="54">
        <v>26.71</v>
      </c>
      <c r="S26" s="55">
        <v>83</v>
      </c>
      <c r="T26" s="150"/>
      <c r="U26" s="75">
        <f t="shared" si="5"/>
        <v>24</v>
      </c>
      <c r="V26" s="54">
        <v>52</v>
      </c>
      <c r="W26" s="55">
        <v>100</v>
      </c>
      <c r="X26" s="150"/>
      <c r="Y26" s="75">
        <f t="shared" si="6"/>
        <v>24</v>
      </c>
      <c r="Z26" s="54">
        <v>19.7</v>
      </c>
      <c r="AA26" s="55">
        <v>113</v>
      </c>
      <c r="AB26" s="150"/>
      <c r="AC26" s="75">
        <f t="shared" si="7"/>
        <v>24</v>
      </c>
      <c r="AD26" s="54">
        <v>24.33</v>
      </c>
      <c r="AE26" s="55">
        <v>480</v>
      </c>
      <c r="AF26" s="150"/>
      <c r="AG26" s="75">
        <f t="shared" si="8"/>
        <v>24</v>
      </c>
      <c r="AH26" s="54">
        <v>22.83</v>
      </c>
      <c r="AI26" s="55">
        <v>172</v>
      </c>
      <c r="AJ26" s="150"/>
      <c r="AK26" s="75">
        <f t="shared" si="9"/>
        <v>24</v>
      </c>
      <c r="AL26" s="54">
        <v>16</v>
      </c>
      <c r="AM26" s="55">
        <v>65</v>
      </c>
      <c r="AN26" s="150"/>
      <c r="AO26" s="75">
        <f t="shared" si="10"/>
        <v>24</v>
      </c>
      <c r="AP26" s="54">
        <v>8.1</v>
      </c>
      <c r="AQ26" s="55">
        <v>47</v>
      </c>
      <c r="AR26" s="150"/>
      <c r="AS26" s="75">
        <f t="shared" si="11"/>
        <v>24</v>
      </c>
      <c r="AT26" s="54">
        <v>30.3</v>
      </c>
      <c r="AU26" s="55">
        <v>270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26.5</v>
      </c>
      <c r="C27" s="55">
        <v>377</v>
      </c>
      <c r="D27" s="150"/>
      <c r="E27" s="75">
        <f t="shared" si="1"/>
        <v>25</v>
      </c>
      <c r="F27" s="54">
        <v>29.02</v>
      </c>
      <c r="G27" s="55">
        <v>50</v>
      </c>
      <c r="H27" s="150"/>
      <c r="I27" s="75">
        <f t="shared" si="2"/>
        <v>25</v>
      </c>
      <c r="J27" s="54">
        <v>17</v>
      </c>
      <c r="K27" s="55">
        <v>157</v>
      </c>
      <c r="L27" s="150"/>
      <c r="M27" s="75">
        <f t="shared" si="3"/>
        <v>25</v>
      </c>
      <c r="N27" s="54">
        <v>12.08</v>
      </c>
      <c r="O27" s="55">
        <v>60</v>
      </c>
      <c r="P27" s="150"/>
      <c r="Q27" s="75">
        <f t="shared" si="4"/>
        <v>25</v>
      </c>
      <c r="R27" s="54">
        <v>15</v>
      </c>
      <c r="S27" s="55">
        <v>215</v>
      </c>
      <c r="T27" s="150"/>
      <c r="U27" s="75">
        <f t="shared" si="5"/>
        <v>25</v>
      </c>
      <c r="V27" s="54">
        <v>43.12</v>
      </c>
      <c r="W27" s="55">
        <v>245</v>
      </c>
      <c r="X27" s="150"/>
      <c r="Y27" s="75">
        <f t="shared" si="6"/>
        <v>25</v>
      </c>
      <c r="Z27" s="54">
        <v>22.53</v>
      </c>
      <c r="AA27" s="55">
        <v>143</v>
      </c>
      <c r="AB27" s="150"/>
      <c r="AC27" s="75">
        <f t="shared" si="7"/>
        <v>25</v>
      </c>
      <c r="AD27" s="54">
        <v>18.100000000000001</v>
      </c>
      <c r="AE27" s="55">
        <v>225</v>
      </c>
      <c r="AF27" s="150"/>
      <c r="AG27" s="75">
        <f t="shared" si="8"/>
        <v>25</v>
      </c>
      <c r="AH27" s="54">
        <v>17.400000000000002</v>
      </c>
      <c r="AI27" s="55">
        <v>370</v>
      </c>
      <c r="AJ27" s="150"/>
      <c r="AK27" s="75">
        <f t="shared" si="9"/>
        <v>25</v>
      </c>
      <c r="AL27" s="54">
        <v>11.940000000000001</v>
      </c>
      <c r="AM27" s="55">
        <v>63</v>
      </c>
      <c r="AN27" s="150"/>
      <c r="AO27" s="75">
        <f t="shared" si="10"/>
        <v>25</v>
      </c>
      <c r="AP27" s="54"/>
      <c r="AQ27" s="55"/>
      <c r="AR27" s="150">
        <v>2.0833333333333332E-2</v>
      </c>
      <c r="AS27" s="75">
        <f t="shared" si="11"/>
        <v>25</v>
      </c>
      <c r="AT27" s="54">
        <v>28.08</v>
      </c>
      <c r="AU27" s="55">
        <v>497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3.2199999999999998</v>
      </c>
      <c r="G28" s="55">
        <v>19</v>
      </c>
      <c r="H28" s="150"/>
      <c r="I28" s="75">
        <f t="shared" si="2"/>
        <v>26</v>
      </c>
      <c r="J28" s="54">
        <v>29.05</v>
      </c>
      <c r="K28" s="55">
        <v>190</v>
      </c>
      <c r="L28" s="150"/>
      <c r="M28" s="75">
        <f t="shared" si="3"/>
        <v>26</v>
      </c>
      <c r="N28" s="54">
        <v>51.06</v>
      </c>
      <c r="O28" s="55">
        <v>1123</v>
      </c>
      <c r="P28" s="150"/>
      <c r="Q28" s="75">
        <f t="shared" si="4"/>
        <v>26</v>
      </c>
      <c r="R28" s="54">
        <v>18.8</v>
      </c>
      <c r="S28" s="55">
        <v>135</v>
      </c>
      <c r="T28" s="150"/>
      <c r="U28" s="75">
        <f t="shared" si="5"/>
        <v>26</v>
      </c>
      <c r="V28" s="54">
        <v>22.68</v>
      </c>
      <c r="W28" s="55">
        <v>300</v>
      </c>
      <c r="X28" s="150"/>
      <c r="Y28" s="75">
        <f t="shared" si="6"/>
        <v>26</v>
      </c>
      <c r="Z28" s="54">
        <v>45.01</v>
      </c>
      <c r="AA28" s="55">
        <v>702</v>
      </c>
      <c r="AB28" s="150"/>
      <c r="AC28" s="75">
        <f t="shared" si="7"/>
        <v>26</v>
      </c>
      <c r="AD28" s="54">
        <v>10</v>
      </c>
      <c r="AE28" s="55">
        <v>40</v>
      </c>
      <c r="AF28" s="150"/>
      <c r="AG28" s="75">
        <f t="shared" si="8"/>
        <v>26</v>
      </c>
      <c r="AH28" s="54">
        <v>72.53</v>
      </c>
      <c r="AI28" s="55">
        <v>188</v>
      </c>
      <c r="AJ28" s="150"/>
      <c r="AK28" s="75">
        <f t="shared" si="9"/>
        <v>26</v>
      </c>
      <c r="AL28" s="54">
        <v>30.3</v>
      </c>
      <c r="AM28" s="55">
        <v>270</v>
      </c>
      <c r="AN28" s="150"/>
      <c r="AO28" s="75">
        <f t="shared" si="10"/>
        <v>26</v>
      </c>
      <c r="AP28" s="54">
        <v>11.8</v>
      </c>
      <c r="AQ28" s="55">
        <v>90</v>
      </c>
      <c r="AR28" s="150"/>
      <c r="AS28" s="75">
        <f t="shared" si="11"/>
        <v>26</v>
      </c>
      <c r="AT28" s="54">
        <v>30.6</v>
      </c>
      <c r="AU28" s="55">
        <v>30</v>
      </c>
      <c r="AV28" s="150"/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/>
      <c r="E29" s="75">
        <f t="shared" si="1"/>
        <v>27</v>
      </c>
      <c r="F29" s="54">
        <v>10.4</v>
      </c>
      <c r="G29" s="55">
        <v>25</v>
      </c>
      <c r="H29" s="150"/>
      <c r="I29" s="75">
        <f t="shared" si="2"/>
        <v>27</v>
      </c>
      <c r="J29" s="54">
        <v>33.5</v>
      </c>
      <c r="K29" s="55">
        <v>275</v>
      </c>
      <c r="L29" s="150"/>
      <c r="M29" s="75">
        <f t="shared" si="3"/>
        <v>27</v>
      </c>
      <c r="N29" s="54">
        <v>10.4</v>
      </c>
      <c r="O29" s="55">
        <v>20</v>
      </c>
      <c r="P29" s="150"/>
      <c r="Q29" s="75">
        <f t="shared" si="4"/>
        <v>27</v>
      </c>
      <c r="R29" s="54">
        <v>10.72</v>
      </c>
      <c r="S29" s="55">
        <v>255</v>
      </c>
      <c r="T29" s="150"/>
      <c r="U29" s="75">
        <f t="shared" si="5"/>
        <v>27</v>
      </c>
      <c r="V29" s="54">
        <v>12.68</v>
      </c>
      <c r="W29" s="55">
        <v>100</v>
      </c>
      <c r="X29" s="150"/>
      <c r="Y29" s="75">
        <f t="shared" si="6"/>
        <v>27</v>
      </c>
      <c r="Z29" s="54">
        <v>51.259999999999991</v>
      </c>
      <c r="AA29" s="55">
        <v>613</v>
      </c>
      <c r="AB29" s="150"/>
      <c r="AC29" s="75">
        <f t="shared" si="7"/>
        <v>27</v>
      </c>
      <c r="AD29" s="54">
        <v>22.83</v>
      </c>
      <c r="AE29" s="55">
        <v>172</v>
      </c>
      <c r="AF29" s="150"/>
      <c r="AG29" s="75">
        <f t="shared" si="8"/>
        <v>27</v>
      </c>
      <c r="AH29" s="54">
        <v>14.36</v>
      </c>
      <c r="AI29" s="55">
        <v>343</v>
      </c>
      <c r="AJ29" s="150"/>
      <c r="AK29" s="75">
        <f t="shared" si="9"/>
        <v>27</v>
      </c>
      <c r="AL29" s="54">
        <v>18.7</v>
      </c>
      <c r="AM29" s="55">
        <v>87</v>
      </c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>
        <v>10.199999999999999</v>
      </c>
      <c r="AU29" s="55">
        <v>3</v>
      </c>
      <c r="AV29" s="150">
        <v>2.4305555555555556E-2</v>
      </c>
      <c r="AW29" s="67"/>
    </row>
    <row r="30" spans="1:49" s="49" customFormat="1" ht="11.25" x14ac:dyDescent="0.2">
      <c r="A30" s="73">
        <f t="shared" si="0"/>
        <v>28</v>
      </c>
      <c r="B30" s="54">
        <v>12.05</v>
      </c>
      <c r="C30" s="55">
        <v>68</v>
      </c>
      <c r="D30" s="150"/>
      <c r="E30" s="75">
        <f t="shared" si="1"/>
        <v>28</v>
      </c>
      <c r="F30" s="54">
        <v>32.200000000000003</v>
      </c>
      <c r="G30" s="55">
        <v>195</v>
      </c>
      <c r="H30" s="150"/>
      <c r="I30" s="75">
        <f t="shared" si="2"/>
        <v>28</v>
      </c>
      <c r="J30" s="54">
        <v>18.5</v>
      </c>
      <c r="K30" s="55">
        <v>157</v>
      </c>
      <c r="L30" s="150"/>
      <c r="M30" s="75">
        <f t="shared" si="3"/>
        <v>28</v>
      </c>
      <c r="N30" s="54">
        <v>10.199999999999999</v>
      </c>
      <c r="O30" s="55">
        <v>45</v>
      </c>
      <c r="P30" s="150"/>
      <c r="Q30" s="75">
        <f t="shared" si="4"/>
        <v>28</v>
      </c>
      <c r="R30" s="54">
        <v>18.8</v>
      </c>
      <c r="S30" s="55">
        <v>45</v>
      </c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17.399999999999999</v>
      </c>
      <c r="AA30" s="55">
        <v>78</v>
      </c>
      <c r="AB30" s="150"/>
      <c r="AC30" s="75">
        <f t="shared" si="7"/>
        <v>28</v>
      </c>
      <c r="AD30" s="54">
        <v>24.099999999999998</v>
      </c>
      <c r="AE30" s="55">
        <v>565</v>
      </c>
      <c r="AF30" s="150"/>
      <c r="AG30" s="75">
        <f t="shared" si="8"/>
        <v>28</v>
      </c>
      <c r="AH30" s="54"/>
      <c r="AI30" s="55"/>
      <c r="AJ30" s="150"/>
      <c r="AK30" s="75">
        <f t="shared" si="9"/>
        <v>28</v>
      </c>
      <c r="AL30" s="54">
        <v>19.760000000000002</v>
      </c>
      <c r="AM30" s="55">
        <v>139</v>
      </c>
      <c r="AN30" s="150"/>
      <c r="AO30" s="75">
        <f t="shared" si="10"/>
        <v>28</v>
      </c>
      <c r="AP30" s="54">
        <v>9.7100000000000009</v>
      </c>
      <c r="AQ30" s="55">
        <v>290</v>
      </c>
      <c r="AR30" s="150"/>
      <c r="AS30" s="75">
        <f t="shared" si="11"/>
        <v>28</v>
      </c>
      <c r="AT30" s="54">
        <v>28.1</v>
      </c>
      <c r="AU30" s="55">
        <v>160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12.8</v>
      </c>
      <c r="C31" s="55">
        <v>85</v>
      </c>
      <c r="D31" s="150"/>
      <c r="E31" s="75"/>
      <c r="F31" s="54"/>
      <c r="G31" s="55"/>
      <c r="H31" s="150"/>
      <c r="I31" s="75">
        <f t="shared" si="2"/>
        <v>29</v>
      </c>
      <c r="J31" s="54">
        <v>52.05</v>
      </c>
      <c r="K31" s="55">
        <v>571</v>
      </c>
      <c r="L31" s="150"/>
      <c r="M31" s="75">
        <f t="shared" si="3"/>
        <v>29</v>
      </c>
      <c r="N31" s="54">
        <v>14.7</v>
      </c>
      <c r="O31" s="55">
        <v>45</v>
      </c>
      <c r="P31" s="150"/>
      <c r="Q31" s="75">
        <f t="shared" si="4"/>
        <v>29</v>
      </c>
      <c r="R31" s="54">
        <v>33.4</v>
      </c>
      <c r="S31" s="55">
        <v>484</v>
      </c>
      <c r="T31" s="150"/>
      <c r="U31" s="75">
        <f t="shared" si="5"/>
        <v>29</v>
      </c>
      <c r="V31" s="54"/>
      <c r="W31" s="55"/>
      <c r="X31" s="150"/>
      <c r="Y31" s="75">
        <f t="shared" si="6"/>
        <v>29</v>
      </c>
      <c r="Z31" s="54"/>
      <c r="AA31" s="55"/>
      <c r="AB31" s="150"/>
      <c r="AC31" s="75">
        <f t="shared" si="7"/>
        <v>29</v>
      </c>
      <c r="AD31" s="54">
        <v>15.06</v>
      </c>
      <c r="AE31" s="55">
        <v>556</v>
      </c>
      <c r="AF31" s="150"/>
      <c r="AG31" s="75">
        <f t="shared" si="8"/>
        <v>29</v>
      </c>
      <c r="AH31" s="54"/>
      <c r="AI31" s="55"/>
      <c r="AJ31" s="150"/>
      <c r="AK31" s="75">
        <f t="shared" si="9"/>
        <v>29</v>
      </c>
      <c r="AL31" s="54">
        <v>22.83</v>
      </c>
      <c r="AM31" s="55">
        <v>172</v>
      </c>
      <c r="AN31" s="150"/>
      <c r="AO31" s="75">
        <f t="shared" si="10"/>
        <v>29</v>
      </c>
      <c r="AP31" s="54">
        <v>78</v>
      </c>
      <c r="AQ31" s="55">
        <v>150</v>
      </c>
      <c r="AR31" s="150"/>
      <c r="AS31" s="75">
        <f t="shared" si="11"/>
        <v>29</v>
      </c>
      <c r="AT31" s="54">
        <v>10.1</v>
      </c>
      <c r="AU31" s="55">
        <v>13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14.01</v>
      </c>
      <c r="C32" s="55">
        <v>157</v>
      </c>
      <c r="D32" s="150"/>
      <c r="E32" s="75"/>
      <c r="F32" s="54"/>
      <c r="G32" s="55"/>
      <c r="H32" s="150"/>
      <c r="I32" s="75">
        <f t="shared" si="2"/>
        <v>30</v>
      </c>
      <c r="J32" s="54">
        <v>71.86999999999999</v>
      </c>
      <c r="K32" s="55">
        <v>896</v>
      </c>
      <c r="L32" s="150"/>
      <c r="M32" s="75">
        <f t="shared" si="3"/>
        <v>30</v>
      </c>
      <c r="N32" s="54">
        <v>18.529999999999998</v>
      </c>
      <c r="O32" s="55">
        <v>419</v>
      </c>
      <c r="P32" s="150"/>
      <c r="Q32" s="75">
        <f t="shared" si="4"/>
        <v>30</v>
      </c>
      <c r="R32" s="54">
        <v>10.7</v>
      </c>
      <c r="S32" s="55">
        <v>30</v>
      </c>
      <c r="T32" s="150"/>
      <c r="U32" s="75">
        <f t="shared" si="5"/>
        <v>30</v>
      </c>
      <c r="V32" s="54">
        <v>14.36</v>
      </c>
      <c r="W32" s="55">
        <v>343</v>
      </c>
      <c r="X32" s="150"/>
      <c r="Y32" s="75">
        <f t="shared" si="6"/>
        <v>30</v>
      </c>
      <c r="Z32" s="54"/>
      <c r="AA32" s="55"/>
      <c r="AB32" s="150"/>
      <c r="AC32" s="75">
        <f t="shared" si="7"/>
        <v>30</v>
      </c>
      <c r="AD32" s="54">
        <v>38.14</v>
      </c>
      <c r="AE32" s="55">
        <v>576</v>
      </c>
      <c r="AF32" s="150"/>
      <c r="AG32" s="75">
        <f t="shared" si="8"/>
        <v>30</v>
      </c>
      <c r="AH32" s="54"/>
      <c r="AI32" s="55"/>
      <c r="AJ32" s="150"/>
      <c r="AK32" s="75">
        <f t="shared" si="9"/>
        <v>30</v>
      </c>
      <c r="AL32" s="54">
        <v>24.66</v>
      </c>
      <c r="AM32" s="55">
        <v>25</v>
      </c>
      <c r="AN32" s="150"/>
      <c r="AO32" s="75">
        <f t="shared" si="10"/>
        <v>30</v>
      </c>
      <c r="AP32" s="54">
        <v>50.3</v>
      </c>
      <c r="AQ32" s="55">
        <v>46</v>
      </c>
      <c r="AR32" s="150"/>
      <c r="AS32" s="75">
        <f t="shared" si="11"/>
        <v>30</v>
      </c>
      <c r="AT32" s="54">
        <v>10.3</v>
      </c>
      <c r="AU32" s="55">
        <v>3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15.559999999999999</v>
      </c>
      <c r="C33" s="63">
        <v>367</v>
      </c>
      <c r="D33" s="151"/>
      <c r="E33" s="76"/>
      <c r="F33" s="62"/>
      <c r="G33" s="63"/>
      <c r="H33" s="151"/>
      <c r="I33" s="76">
        <f t="shared" si="2"/>
        <v>31</v>
      </c>
      <c r="J33" s="62">
        <v>9.86</v>
      </c>
      <c r="K33" s="63">
        <v>58</v>
      </c>
      <c r="L33" s="151"/>
      <c r="M33" s="76"/>
      <c r="N33" s="62"/>
      <c r="O33" s="63"/>
      <c r="P33" s="151"/>
      <c r="Q33" s="76">
        <f t="shared" si="4"/>
        <v>31</v>
      </c>
      <c r="R33" s="62">
        <v>26</v>
      </c>
      <c r="S33" s="63">
        <v>477</v>
      </c>
      <c r="T33" s="151"/>
      <c r="U33" s="76"/>
      <c r="V33" s="62"/>
      <c r="W33" s="63"/>
      <c r="X33" s="151"/>
      <c r="Y33" s="76">
        <f t="shared" si="6"/>
        <v>31</v>
      </c>
      <c r="Z33" s="62"/>
      <c r="AA33" s="63"/>
      <c r="AB33" s="151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51"/>
      <c r="AG33" s="76"/>
      <c r="AH33" s="62"/>
      <c r="AI33" s="63"/>
      <c r="AJ33" s="151"/>
      <c r="AK33" s="76">
        <f t="shared" si="9"/>
        <v>31</v>
      </c>
      <c r="AL33" s="62">
        <v>22.189999999999998</v>
      </c>
      <c r="AM33" s="63">
        <v>523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10.8</v>
      </c>
      <c r="AU33" s="63">
        <v>35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1.25" x14ac:dyDescent="0.2">
      <c r="A35" s="46" t="s">
        <v>93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1.25" x14ac:dyDescent="0.2">
      <c r="A36" s="49" t="s">
        <v>149</v>
      </c>
      <c r="B36" s="315">
        <f>MAX(B3:B33)</f>
        <v>67.06</v>
      </c>
      <c r="C36" s="55">
        <f>MAX(C3:C33)</f>
        <v>444</v>
      </c>
      <c r="D36" s="152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52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52">
        <f>MAX(L3:L33)</f>
        <v>0</v>
      </c>
      <c r="M36" s="67"/>
      <c r="N36" s="54">
        <f>MAX(N3:N33)</f>
        <v>53.86</v>
      </c>
      <c r="O36" s="55">
        <f>MAX(O3:O33)</f>
        <v>1123</v>
      </c>
      <c r="P36" s="152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52">
        <f>MAX(T3:T33)</f>
        <v>5.2083333333333336E-2</v>
      </c>
      <c r="U36" s="67"/>
      <c r="V36" s="315">
        <f>MAX(V3:V33)</f>
        <v>154.47999999999999</v>
      </c>
      <c r="W36" s="55">
        <f>MAX(W3:W33)</f>
        <v>1552</v>
      </c>
      <c r="X36" s="152">
        <f>MAX(X3:X33)</f>
        <v>0</v>
      </c>
      <c r="Y36" s="67"/>
      <c r="Z36" s="54">
        <f>MAX(Z3:Z33)</f>
        <v>66.44</v>
      </c>
      <c r="AA36" s="55">
        <f>MAX(AA3:AA33)</f>
        <v>1016</v>
      </c>
      <c r="AB36" s="152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52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52">
        <f>MAX(AJ3:AJ33)</f>
        <v>2.6388888888888889E-2</v>
      </c>
      <c r="AK36" s="67"/>
      <c r="AL36" s="54">
        <f>MAX(AL3:AL33)</f>
        <v>50.4</v>
      </c>
      <c r="AM36" s="314">
        <f>MAX(AM3:AM33)</f>
        <v>1437</v>
      </c>
      <c r="AN36" s="152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52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52">
        <f>MAX(AV3:AV33)</f>
        <v>2.4305555555555556E-2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19.509642857142858</v>
      </c>
      <c r="C37" s="55">
        <f>IFERROR(AVERAGE(C3:C33),0)</f>
        <v>178.89285714285714</v>
      </c>
      <c r="D37" s="152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52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52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52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52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52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52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52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52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52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52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52">
        <f>IFERROR(AVERAGE(AV3:AV33),0)</f>
        <v>2.4305555555555556E-2</v>
      </c>
      <c r="AW37" s="67"/>
    </row>
    <row r="38" spans="1:49" s="49" customFormat="1" ht="11.25" x14ac:dyDescent="0.2">
      <c r="A38" s="49" t="s">
        <v>236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1867.65</v>
      </c>
      <c r="K39" s="51">
        <f t="shared" ref="K39:L39" si="12">SUM(C34,G34,K34)</f>
        <v>17334</v>
      </c>
      <c r="L39" s="170">
        <f t="shared" si="12"/>
        <v>44</v>
      </c>
      <c r="M39" s="168"/>
      <c r="P39" s="169"/>
      <c r="Q39" s="168"/>
      <c r="T39" s="169"/>
      <c r="U39" s="168"/>
      <c r="V39" s="50">
        <f>SUM(N34,R34,V34)</f>
        <v>2267.665</v>
      </c>
      <c r="W39" s="51">
        <f>SUM(O34,S34,W34)</f>
        <v>25615</v>
      </c>
      <c r="X39" s="170">
        <f>SUM(P34,T34,X34)</f>
        <v>90.000000000000028</v>
      </c>
      <c r="Y39" s="168"/>
      <c r="AB39" s="169"/>
      <c r="AC39" s="168"/>
      <c r="AF39" s="169"/>
      <c r="AG39" s="168"/>
      <c r="AH39" s="86">
        <f>SUM(Z34,AD34,AH34)</f>
        <v>2048.1750000000002</v>
      </c>
      <c r="AI39" s="51">
        <f>SUM(AA34,AE34,AI34)</f>
        <v>26103</v>
      </c>
      <c r="AJ39" s="170">
        <f>SUM(AB34,AF34,AJ34)</f>
        <v>125.99999999999999</v>
      </c>
      <c r="AK39" s="168"/>
      <c r="AN39" s="169"/>
      <c r="AO39" s="168"/>
      <c r="AR39" s="169"/>
      <c r="AS39" s="168"/>
      <c r="AT39" s="50">
        <f>SUM(AL34,AP34,AT34)</f>
        <v>1930.4</v>
      </c>
      <c r="AU39" s="51">
        <f>SUM(AM34,AQ34,AU34)</f>
        <v>19061</v>
      </c>
      <c r="AV39" s="170">
        <f>SUM(AN34,AR34,AV34)</f>
        <v>75.600000000000009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52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52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52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52">
        <f>IFERROR(AVERAGE(AN37,AR37,AV37),0)</f>
        <v>3.3333333333333333E-2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1.25" x14ac:dyDescent="0.2">
      <c r="A42" s="52" t="s">
        <v>214</v>
      </c>
      <c r="B42" s="86">
        <f>T1</f>
        <v>24.369046054229518</v>
      </c>
      <c r="C42" s="87">
        <f>AB1</f>
        <v>263.42805021641044</v>
      </c>
      <c r="D42" s="88"/>
      <c r="E42" s="176" t="s">
        <v>399</v>
      </c>
      <c r="F42" s="177">
        <f>SUM(J23:J33,N3:N33,R3:R33,V3:V33,Z3:Z33,AD3:AD33,AH3:AH23)</f>
        <v>4393.4999999999991</v>
      </c>
      <c r="G42" s="178">
        <f>SUM(K23:K33,O3:O32,S3:S33,W3:W32,AA3:AA33,AE3:AE33,AI3:AI23)</f>
        <v>52811</v>
      </c>
      <c r="H42" s="179"/>
      <c r="I42" s="179"/>
      <c r="J42" s="180">
        <f>IFERROR(F42/(F42+F43),0)</f>
        <v>0.54147887141679263</v>
      </c>
      <c r="K42" s="180">
        <f>IFERROR(G42/(G42+G43),0)</f>
        <v>0.59935537321394117</v>
      </c>
      <c r="L42" s="179"/>
      <c r="M42" s="259" t="s">
        <v>600</v>
      </c>
      <c r="N42" s="257">
        <v>82</v>
      </c>
      <c r="Y42" s="144"/>
      <c r="AK42" s="211" t="s">
        <v>478</v>
      </c>
      <c r="AL42" s="47">
        <f>MAX(B34,F34,J34,N34,R34,V34,Z34,AD34,AH34,AL34,AP34,AT34)</f>
        <v>830.34</v>
      </c>
      <c r="AM42" s="212">
        <f>MAX(C34,G34,K34,O34,S34,W34,AA34,AE34,AI34,AM34,AQ34,AU34)</f>
        <v>11173</v>
      </c>
      <c r="AN42" s="49" t="s">
        <v>346</v>
      </c>
      <c r="AO42" s="210" t="s">
        <v>344</v>
      </c>
      <c r="AP42" s="54">
        <f>R1-'13'!R1</f>
        <v>295.72000000000014</v>
      </c>
      <c r="AQ42" s="78">
        <f>AF1-'13'!AF1</f>
        <v>3342</v>
      </c>
      <c r="AR42" s="49" t="s">
        <v>345</v>
      </c>
      <c r="AS42" s="209" t="s">
        <v>344</v>
      </c>
      <c r="AT42" s="54">
        <f>I1-'13'!I1</f>
        <v>21.389999999999986</v>
      </c>
      <c r="AU42" s="78">
        <f>AN1-'13'!AN1</f>
        <v>-928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22.229835616438351</v>
      </c>
      <c r="C43" s="87">
        <f>AU1/365</f>
        <v>241.40547945205481</v>
      </c>
      <c r="D43" s="88"/>
      <c r="E43" s="172" t="s">
        <v>400</v>
      </c>
      <c r="F43" s="173">
        <f>E1-F42</f>
        <v>3720.3899999999994</v>
      </c>
      <c r="G43" s="174">
        <f>AU1-G42</f>
        <v>35302</v>
      </c>
      <c r="H43" s="175"/>
      <c r="I43" s="175"/>
      <c r="J43" s="181">
        <f>IFERROR(F43/(F42+F43),0)</f>
        <v>0.45852112858320732</v>
      </c>
      <c r="K43" s="181">
        <f>IFERROR(G43/(G42+G43),0)</f>
        <v>0.40064462678605883</v>
      </c>
      <c r="L43" s="175"/>
      <c r="M43" s="65" t="s">
        <v>601</v>
      </c>
      <c r="N43" s="258">
        <v>4</v>
      </c>
      <c r="Y43" s="67"/>
      <c r="AK43" s="213" t="s">
        <v>481</v>
      </c>
      <c r="AL43" s="188">
        <f>IF($B$1&lt;&gt;0,$AV$35/$B1,0)</f>
        <v>3.9718373534970763E-2</v>
      </c>
      <c r="AO43" s="209" t="s">
        <v>344</v>
      </c>
      <c r="AP43" s="54">
        <f>AV35-'13'!AV35</f>
        <v>47.600000000000023</v>
      </c>
      <c r="AQ43" s="188">
        <f>AL43-'13'!AL43</f>
        <v>1.0495997781785546E-3</v>
      </c>
      <c r="AR43" s="49" t="s">
        <v>204</v>
      </c>
      <c r="AS43" s="209" t="s">
        <v>344</v>
      </c>
      <c r="AT43" s="54">
        <f>B1-'13'!B1</f>
        <v>1001.6199999999972</v>
      </c>
      <c r="AU43" s="78">
        <f>AU1-'13'!AU1</f>
        <v>1061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40" priority="65" operator="equal">
      <formula>$R$1</formula>
    </cfRule>
    <cfRule type="cellIs" dxfId="439" priority="66" operator="equal">
      <formula>$M$1</formula>
    </cfRule>
  </conditionalFormatting>
  <conditionalFormatting sqref="C34 G34 K34 O34 S34 W34 AA34 AE34 AI34 AM34 AQ34 AU34">
    <cfRule type="cellIs" dxfId="438" priority="64" operator="equal">
      <formula>$AF$1</formula>
    </cfRule>
    <cfRule type="cellIs" dxfId="437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36" priority="61" operator="lessThan">
      <formula>0</formula>
    </cfRule>
    <cfRule type="cellIs" dxfId="435" priority="62" operator="greaterThanOrEqual">
      <formula>0</formula>
    </cfRule>
  </conditionalFormatting>
  <conditionalFormatting sqref="C38 AU42:AU43 AQ42 G38 K38 O38 S38 W38 AA38 AE38 AI38 AM38 AQ38 AU38">
    <cfRule type="cellIs" dxfId="434" priority="59" operator="lessThan">
      <formula>0</formula>
    </cfRule>
    <cfRule type="cellIs" dxfId="433" priority="60" operator="greaterThanOrEqual">
      <formula>0</formula>
    </cfRule>
  </conditionalFormatting>
  <conditionalFormatting sqref="D38">
    <cfRule type="cellIs" dxfId="432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31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30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29" priority="47" stopIfTrue="1" operator="between">
      <formula>0</formula>
      <formula>0.0416550925925926</formula>
    </cfRule>
    <cfRule type="cellIs" dxfId="428" priority="48" stopIfTrue="1" operator="between">
      <formula>0.0416666666666667</formula>
      <formula>0.0833217592592593</formula>
    </cfRule>
    <cfRule type="cellIs" dxfId="427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26" priority="35" operator="equal">
      <formula>MAX($D$36,$H$36,$L$36,$P$36,$T$36,$X$36,$AB$36,$AF$36,$AJ$36,$AN$36,$AR$36,$AV$36)</formula>
    </cfRule>
  </conditionalFormatting>
  <conditionalFormatting sqref="AP43">
    <cfRule type="cellIs" dxfId="425" priority="33" operator="lessThan">
      <formula>0</formula>
    </cfRule>
    <cfRule type="cellIs" dxfId="424" priority="34" operator="greaterThanOrEqual">
      <formula>0</formula>
    </cfRule>
  </conditionalFormatting>
  <conditionalFormatting sqref="B3:B33 F3:F33 J3:J33 N3:N33 R3:R33 V3:V33 Z3:Z33 AT3:AT33 AH3:AH33 AL3:AL33 AP3:AP33 AD3:AD33">
    <cfRule type="cellIs" dxfId="423" priority="56" stopIfTrue="1" operator="lessThan">
      <formula>50</formula>
    </cfRule>
    <cfRule type="cellIs" dxfId="422" priority="57" stopIfTrue="1" operator="greaterThanOrEqual">
      <formula>100</formula>
    </cfRule>
    <cfRule type="cellIs" dxfId="421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20" priority="53" stopIfTrue="1" operator="between">
      <formula>0</formula>
      <formula>749.99</formula>
    </cfRule>
    <cfRule type="cellIs" dxfId="419" priority="54" stopIfTrue="1" operator="greaterThanOrEqual">
      <formula>1500</formula>
    </cfRule>
    <cfRule type="cellIs" dxfId="418" priority="55" operator="greaterThanOrEqual">
      <formula>750</formula>
    </cfRule>
  </conditionalFormatting>
  <conditionalFormatting sqref="AQ43">
    <cfRule type="cellIs" dxfId="417" priority="31" stopIfTrue="1" operator="lessThan">
      <formula>0</formula>
    </cfRule>
    <cfRule type="cellIs" dxfId="416" priority="32" operator="greaterThanOrEqual">
      <formula>0</formula>
    </cfRule>
  </conditionalFormatting>
  <conditionalFormatting sqref="AL42">
    <cfRule type="cellIs" dxfId="415" priority="26" stopIfTrue="1" operator="lessThan">
      <formula>1000</formula>
    </cfRule>
    <cfRule type="cellIs" dxfId="414" priority="27" stopIfTrue="1" operator="lessThan">
      <formula>1100</formula>
    </cfRule>
    <cfRule type="cellIs" dxfId="413" priority="28" stopIfTrue="1" operator="lessThan">
      <formula>9999</formula>
    </cfRule>
  </conditionalFormatting>
  <conditionalFormatting sqref="AM42">
    <cfRule type="cellIs" dxfId="412" priority="23" stopIfTrue="1" operator="lessThan">
      <formula>10000</formula>
    </cfRule>
    <cfRule type="cellIs" dxfId="411" priority="24" stopIfTrue="1" operator="lessThan">
      <formula>13000</formula>
    </cfRule>
    <cfRule type="cellIs" dxfId="410" priority="25" stopIfTrue="1" operator="lessThan">
      <formula>99999</formula>
    </cfRule>
  </conditionalFormatting>
  <conditionalFormatting sqref="AL43">
    <cfRule type="cellIs" dxfId="409" priority="20" stopIfTrue="1" operator="lessThan">
      <formula>0.05</formula>
    </cfRule>
    <cfRule type="cellIs" dxfId="408" priority="21" stopIfTrue="1" operator="lessThan">
      <formula>0.1</formula>
    </cfRule>
    <cfRule type="cellIs" dxfId="407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7883.7899999999991</v>
      </c>
      <c r="C1" s="382"/>
      <c r="D1" s="83" t="s">
        <v>238</v>
      </c>
      <c r="E1" s="383">
        <f>AT35</f>
        <v>7802.9899999999989</v>
      </c>
      <c r="F1" s="383"/>
      <c r="G1" s="384" t="s">
        <v>152</v>
      </c>
      <c r="H1" s="384"/>
      <c r="I1" s="380">
        <f>MAX(B36,F36,J36,N36,R36,V36,Z36,AD36,AH36,AL36,AP36,AT36)</f>
        <v>130</v>
      </c>
      <c r="J1" s="380"/>
      <c r="K1" s="385" t="s">
        <v>159</v>
      </c>
      <c r="L1" s="385"/>
      <c r="M1" s="386">
        <f>MAX(B34,F34,J34,N34,R34,V34,Z34,AD34,AH34,AL34,AP34,AT34)</f>
        <v>1042.1100000000001</v>
      </c>
      <c r="N1" s="386"/>
      <c r="O1" s="379" t="s">
        <v>190</v>
      </c>
      <c r="P1" s="379"/>
      <c r="Q1" s="379"/>
      <c r="R1" s="149">
        <f>MIN(B34,F34,J34,N34,R34,V34,Z34,AD34,AH34,AL34,AP34,AT34)</f>
        <v>360.97</v>
      </c>
      <c r="S1" s="84" t="s">
        <v>207</v>
      </c>
      <c r="T1" s="372">
        <f>IFERROR(AVERAGE(B37,F37,J37,N37,R37,V37,Z37,AD37,AH37,AL37,AP37,AT37),0)</f>
        <v>23.968190715034449</v>
      </c>
      <c r="U1" s="372"/>
      <c r="V1" s="392" t="s">
        <v>735</v>
      </c>
      <c r="W1" s="392"/>
      <c r="X1" s="392"/>
      <c r="Y1" s="392"/>
      <c r="Z1" s="392"/>
      <c r="AA1" s="85" t="s">
        <v>207</v>
      </c>
      <c r="AB1" s="381">
        <f>IFERROR(AVERAGE(C37,G37,K37,O37,S37,W37,AA37,AE37,AI37,AM37,AQ37,AU37),0)</f>
        <v>194.46599282316905</v>
      </c>
      <c r="AC1" s="381"/>
      <c r="AD1" s="371" t="s">
        <v>190</v>
      </c>
      <c r="AE1" s="371"/>
      <c r="AF1" s="374">
        <f>MIN(C34,G34,K34,O34,S34,W34,AA34,AE34,AI34,AM34,AQ34,AU34)</f>
        <v>2662</v>
      </c>
      <c r="AG1" s="374"/>
      <c r="AH1" s="375" t="s">
        <v>159</v>
      </c>
      <c r="AI1" s="375"/>
      <c r="AJ1" s="376">
        <f>MAX(C34,G34,K34,O34,S34,W34,AA34,AE34,AI34,AM34,AQ34,AU34)</f>
        <v>8968</v>
      </c>
      <c r="AK1" s="376"/>
      <c r="AL1" s="378" t="s">
        <v>153</v>
      </c>
      <c r="AM1" s="378"/>
      <c r="AN1" s="377">
        <f>MAX(C36,G36,K36,O36,S36,W36,AA36,AE36,AI36,AM36,AQ36,AU36)</f>
        <v>1535</v>
      </c>
      <c r="AO1" s="377"/>
      <c r="AP1" s="367" t="s">
        <v>361</v>
      </c>
      <c r="AQ1" s="367"/>
      <c r="AR1" s="368">
        <f>MAX(D36,H36,L36,P36,T36,X36,AB36,AF36,AJ36,AN36,AR36,AV36)</f>
        <v>4.4444444444444446E-2</v>
      </c>
      <c r="AS1" s="368"/>
      <c r="AT1" s="81" t="s">
        <v>2</v>
      </c>
      <c r="AU1" s="369">
        <f>AU35</f>
        <v>62750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11.39</v>
      </c>
      <c r="C3" s="55">
        <v>67</v>
      </c>
      <c r="D3" s="150"/>
      <c r="E3" s="75">
        <v>1</v>
      </c>
      <c r="F3" s="54">
        <v>15.299999999999999</v>
      </c>
      <c r="G3" s="55">
        <v>78</v>
      </c>
      <c r="H3" s="150"/>
      <c r="I3" s="75">
        <v>1</v>
      </c>
      <c r="J3" s="54">
        <v>17.5</v>
      </c>
      <c r="K3" s="55">
        <v>30</v>
      </c>
      <c r="L3" s="150"/>
      <c r="M3" s="75">
        <v>1</v>
      </c>
      <c r="N3" s="54">
        <v>13</v>
      </c>
      <c r="O3" s="55">
        <v>10</v>
      </c>
      <c r="P3" s="150"/>
      <c r="Q3" s="75">
        <v>1</v>
      </c>
      <c r="R3" s="54">
        <v>26</v>
      </c>
      <c r="S3" s="55">
        <v>60</v>
      </c>
      <c r="T3" s="150"/>
      <c r="U3" s="75">
        <v>1</v>
      </c>
      <c r="V3" s="54"/>
      <c r="W3" s="55"/>
      <c r="X3" s="150"/>
      <c r="Y3" s="75">
        <v>1</v>
      </c>
      <c r="Z3" s="54">
        <v>13</v>
      </c>
      <c r="AA3" s="55">
        <v>40</v>
      </c>
      <c r="AB3" s="150"/>
      <c r="AC3" s="75">
        <v>1</v>
      </c>
      <c r="AD3" s="54">
        <v>28.4</v>
      </c>
      <c r="AE3" s="55">
        <v>400</v>
      </c>
      <c r="AF3" s="150"/>
      <c r="AG3" s="75">
        <v>1</v>
      </c>
      <c r="AH3" s="54">
        <v>14</v>
      </c>
      <c r="AI3" s="55">
        <v>40</v>
      </c>
      <c r="AJ3" s="150"/>
      <c r="AK3" s="75">
        <v>1</v>
      </c>
      <c r="AL3" s="54">
        <v>17</v>
      </c>
      <c r="AM3" s="55">
        <v>30</v>
      </c>
      <c r="AN3" s="150"/>
      <c r="AO3" s="75">
        <v>1</v>
      </c>
      <c r="AP3" s="54">
        <v>62.44</v>
      </c>
      <c r="AQ3" s="55">
        <v>981</v>
      </c>
      <c r="AR3" s="150"/>
      <c r="AS3" s="75">
        <v>1</v>
      </c>
      <c r="AT3" s="54">
        <v>11</v>
      </c>
      <c r="AU3" s="55">
        <v>60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10.199999999999999</v>
      </c>
      <c r="C4" s="55">
        <v>11</v>
      </c>
      <c r="D4" s="150"/>
      <c r="E4" s="75">
        <f t="shared" ref="E4:E30" si="1">E3+1</f>
        <v>2</v>
      </c>
      <c r="F4" s="54">
        <v>7.7</v>
      </c>
      <c r="G4" s="55">
        <v>35</v>
      </c>
      <c r="H4" s="150"/>
      <c r="I4" s="75">
        <f t="shared" ref="I4:I33" si="2">I3+1</f>
        <v>2</v>
      </c>
      <c r="J4" s="54">
        <v>21.86</v>
      </c>
      <c r="K4" s="55">
        <v>175</v>
      </c>
      <c r="L4" s="150"/>
      <c r="M4" s="75">
        <f t="shared" ref="M4:M32" si="3">M3+1</f>
        <v>2</v>
      </c>
      <c r="N4" s="54"/>
      <c r="O4" s="55"/>
      <c r="P4" s="150"/>
      <c r="Q4" s="75">
        <f t="shared" ref="Q4:Q33" si="4">Q3+1</f>
        <v>2</v>
      </c>
      <c r="R4" s="54">
        <v>65.599999999999994</v>
      </c>
      <c r="S4" s="55">
        <v>130</v>
      </c>
      <c r="T4" s="150"/>
      <c r="U4" s="75">
        <f t="shared" ref="U4:U32" si="5">U3+1</f>
        <v>2</v>
      </c>
      <c r="V4" s="54">
        <v>25.66</v>
      </c>
      <c r="W4" s="55">
        <v>25</v>
      </c>
      <c r="X4" s="150"/>
      <c r="Y4" s="75">
        <f t="shared" ref="Y4:Y33" si="6">Y3+1</f>
        <v>2</v>
      </c>
      <c r="Z4" s="54">
        <v>14</v>
      </c>
      <c r="AA4" s="55">
        <v>40</v>
      </c>
      <c r="AB4" s="150"/>
      <c r="AC4" s="75">
        <f t="shared" ref="AC4:AC33" si="7">AC3+1</f>
        <v>2</v>
      </c>
      <c r="AD4" s="54">
        <v>130</v>
      </c>
      <c r="AE4" s="55">
        <v>260</v>
      </c>
      <c r="AF4" s="150"/>
      <c r="AG4" s="75">
        <f>AG3+1</f>
        <v>2</v>
      </c>
      <c r="AH4" s="54">
        <v>13</v>
      </c>
      <c r="AI4" s="55">
        <v>105</v>
      </c>
      <c r="AJ4" s="150"/>
      <c r="AK4" s="75">
        <f>AK3+1</f>
        <v>2</v>
      </c>
      <c r="AL4" s="54">
        <v>12.55</v>
      </c>
      <c r="AM4" s="55">
        <v>115</v>
      </c>
      <c r="AN4" s="150"/>
      <c r="AO4" s="75">
        <f>AO3+1</f>
        <v>2</v>
      </c>
      <c r="AP4" s="54">
        <v>24.66</v>
      </c>
      <c r="AQ4" s="55">
        <v>25</v>
      </c>
      <c r="AR4" s="150"/>
      <c r="AS4" s="75">
        <f>AS3+1</f>
        <v>2</v>
      </c>
      <c r="AT4" s="54">
        <v>24.89</v>
      </c>
      <c r="AU4" s="55">
        <v>25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24.5</v>
      </c>
      <c r="C5" s="55">
        <v>245</v>
      </c>
      <c r="D5" s="150"/>
      <c r="E5" s="75">
        <f t="shared" si="1"/>
        <v>3</v>
      </c>
      <c r="F5" s="54">
        <v>7.5</v>
      </c>
      <c r="G5" s="55">
        <v>30</v>
      </c>
      <c r="H5" s="150"/>
      <c r="I5" s="75">
        <f t="shared" si="2"/>
        <v>3</v>
      </c>
      <c r="J5" s="54">
        <v>12.5</v>
      </c>
      <c r="K5" s="55">
        <v>54</v>
      </c>
      <c r="L5" s="150"/>
      <c r="M5" s="75">
        <f t="shared" si="3"/>
        <v>3</v>
      </c>
      <c r="N5" s="54">
        <v>43.2</v>
      </c>
      <c r="O5" s="55">
        <v>510</v>
      </c>
      <c r="P5" s="150"/>
      <c r="Q5" s="75">
        <f t="shared" si="4"/>
        <v>3</v>
      </c>
      <c r="R5" s="54">
        <v>20.5</v>
      </c>
      <c r="S5" s="55">
        <v>50</v>
      </c>
      <c r="T5" s="150">
        <v>2.0833333333333332E-2</v>
      </c>
      <c r="U5" s="75">
        <f t="shared" si="5"/>
        <v>3</v>
      </c>
      <c r="V5" s="54">
        <v>17.7</v>
      </c>
      <c r="W5" s="55">
        <v>354</v>
      </c>
      <c r="X5" s="150"/>
      <c r="Y5" s="75">
        <f t="shared" si="6"/>
        <v>3</v>
      </c>
      <c r="Z5" s="54">
        <v>23.259999999999998</v>
      </c>
      <c r="AA5" s="55">
        <v>72</v>
      </c>
      <c r="AB5" s="150"/>
      <c r="AC5" s="75">
        <f t="shared" si="7"/>
        <v>3</v>
      </c>
      <c r="AD5" s="54">
        <v>10</v>
      </c>
      <c r="AE5" s="55">
        <v>40</v>
      </c>
      <c r="AF5" s="150"/>
      <c r="AG5" s="75">
        <f t="shared" ref="AG5:AG32" si="8">AG4+1</f>
        <v>3</v>
      </c>
      <c r="AH5" s="54">
        <v>15</v>
      </c>
      <c r="AI5" s="55">
        <v>60</v>
      </c>
      <c r="AJ5" s="150"/>
      <c r="AK5" s="75">
        <f t="shared" ref="AK5:AK33" si="9">AK4+1</f>
        <v>3</v>
      </c>
      <c r="AL5" s="54">
        <v>33.46</v>
      </c>
      <c r="AM5" s="55">
        <v>606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/>
      <c r="AW5" s="67"/>
    </row>
    <row r="6" spans="1:49" s="49" customFormat="1" ht="11.25" x14ac:dyDescent="0.2">
      <c r="A6" s="73">
        <f t="shared" si="0"/>
        <v>4</v>
      </c>
      <c r="B6" s="54">
        <v>16.100000000000001</v>
      </c>
      <c r="C6" s="55">
        <v>80</v>
      </c>
      <c r="D6" s="150"/>
      <c r="E6" s="75">
        <f t="shared" si="1"/>
        <v>4</v>
      </c>
      <c r="F6" s="54">
        <v>10</v>
      </c>
      <c r="G6" s="55">
        <v>3</v>
      </c>
      <c r="H6" s="150"/>
      <c r="I6" s="75">
        <f t="shared" si="2"/>
        <v>4</v>
      </c>
      <c r="J6" s="54">
        <v>25.299999999999997</v>
      </c>
      <c r="K6" s="55">
        <v>220</v>
      </c>
      <c r="L6" s="150"/>
      <c r="M6" s="75">
        <f t="shared" si="3"/>
        <v>4</v>
      </c>
      <c r="N6" s="54">
        <v>20.2</v>
      </c>
      <c r="O6" s="55">
        <v>45</v>
      </c>
      <c r="P6" s="150">
        <v>4.4444444444444446E-2</v>
      </c>
      <c r="Q6" s="75">
        <f t="shared" si="4"/>
        <v>4</v>
      </c>
      <c r="R6" s="54">
        <v>14.4</v>
      </c>
      <c r="S6" s="55">
        <v>50</v>
      </c>
      <c r="T6" s="150"/>
      <c r="U6" s="75">
        <f t="shared" si="5"/>
        <v>4</v>
      </c>
      <c r="V6" s="54">
        <v>48.3</v>
      </c>
      <c r="W6" s="55">
        <v>625</v>
      </c>
      <c r="X6" s="150"/>
      <c r="Y6" s="75">
        <f t="shared" si="6"/>
        <v>4</v>
      </c>
      <c r="Z6" s="54">
        <v>13.84</v>
      </c>
      <c r="AA6" s="55">
        <v>110</v>
      </c>
      <c r="AB6" s="150"/>
      <c r="AC6" s="75">
        <f t="shared" si="7"/>
        <v>4</v>
      </c>
      <c r="AD6" s="54">
        <v>10.8</v>
      </c>
      <c r="AE6" s="55">
        <v>20</v>
      </c>
      <c r="AF6" s="150"/>
      <c r="AG6" s="75">
        <f t="shared" si="8"/>
        <v>4</v>
      </c>
      <c r="AH6" s="54">
        <v>10.6</v>
      </c>
      <c r="AI6" s="55">
        <v>350</v>
      </c>
      <c r="AJ6" s="150"/>
      <c r="AK6" s="75">
        <f t="shared" si="9"/>
        <v>4</v>
      </c>
      <c r="AL6" s="54">
        <v>10.6</v>
      </c>
      <c r="AM6" s="55">
        <v>20</v>
      </c>
      <c r="AN6" s="150"/>
      <c r="AO6" s="75">
        <f t="shared" si="10"/>
        <v>4</v>
      </c>
      <c r="AP6" s="54">
        <v>11</v>
      </c>
      <c r="AQ6" s="55">
        <v>90</v>
      </c>
      <c r="AR6" s="150"/>
      <c r="AS6" s="75">
        <f t="shared" si="11"/>
        <v>4</v>
      </c>
      <c r="AT6" s="54">
        <v>11.4</v>
      </c>
      <c r="AU6" s="55">
        <v>25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10</v>
      </c>
      <c r="C7" s="55">
        <v>70</v>
      </c>
      <c r="D7" s="150"/>
      <c r="E7" s="75">
        <f t="shared" si="1"/>
        <v>5</v>
      </c>
      <c r="F7" s="54">
        <v>6</v>
      </c>
      <c r="G7" s="55">
        <v>30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50.6</v>
      </c>
      <c r="O7" s="55">
        <v>420</v>
      </c>
      <c r="P7" s="150">
        <v>2.4305555555555556E-2</v>
      </c>
      <c r="Q7" s="75">
        <f t="shared" si="4"/>
        <v>5</v>
      </c>
      <c r="R7" s="54">
        <v>25.32</v>
      </c>
      <c r="S7" s="55">
        <v>26</v>
      </c>
      <c r="T7" s="150"/>
      <c r="U7" s="75">
        <f t="shared" si="5"/>
        <v>5</v>
      </c>
      <c r="V7" s="54">
        <v>13.6</v>
      </c>
      <c r="W7" s="55">
        <v>152</v>
      </c>
      <c r="X7" s="150"/>
      <c r="Y7" s="75">
        <f t="shared" si="6"/>
        <v>5</v>
      </c>
      <c r="Z7" s="54">
        <v>17.149999999999999</v>
      </c>
      <c r="AA7" s="55">
        <v>120</v>
      </c>
      <c r="AB7" s="150"/>
      <c r="AC7" s="75">
        <f t="shared" si="7"/>
        <v>5</v>
      </c>
      <c r="AD7" s="54">
        <v>11.3</v>
      </c>
      <c r="AE7" s="55">
        <v>10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10</v>
      </c>
      <c r="AM7" s="55">
        <v>30</v>
      </c>
      <c r="AN7" s="150"/>
      <c r="AO7" s="75">
        <f t="shared" si="10"/>
        <v>5</v>
      </c>
      <c r="AP7" s="54">
        <v>15.1</v>
      </c>
      <c r="AQ7" s="55">
        <v>50</v>
      </c>
      <c r="AR7" s="150"/>
      <c r="AS7" s="75">
        <f t="shared" si="11"/>
        <v>5</v>
      </c>
      <c r="AT7" s="54">
        <v>23.259999999999998</v>
      </c>
      <c r="AU7" s="55">
        <v>117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30.9</v>
      </c>
      <c r="C8" s="55">
        <v>110</v>
      </c>
      <c r="D8" s="150"/>
      <c r="E8" s="75">
        <f t="shared" si="1"/>
        <v>6</v>
      </c>
      <c r="F8" s="54">
        <v>10.6</v>
      </c>
      <c r="G8" s="55">
        <v>185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54.2</v>
      </c>
      <c r="O8" s="55">
        <v>452</v>
      </c>
      <c r="P8" s="150"/>
      <c r="Q8" s="75">
        <f t="shared" si="4"/>
        <v>6</v>
      </c>
      <c r="R8" s="54">
        <v>12.8</v>
      </c>
      <c r="S8" s="55">
        <v>45</v>
      </c>
      <c r="T8" s="150"/>
      <c r="U8" s="75">
        <f t="shared" si="5"/>
        <v>6</v>
      </c>
      <c r="V8" s="54">
        <v>49.61</v>
      </c>
      <c r="W8" s="55">
        <v>475</v>
      </c>
      <c r="X8" s="150"/>
      <c r="Y8" s="75">
        <f t="shared" si="6"/>
        <v>6</v>
      </c>
      <c r="Z8" s="54">
        <v>15.899999999999999</v>
      </c>
      <c r="AA8" s="55">
        <v>70</v>
      </c>
      <c r="AB8" s="150"/>
      <c r="AC8" s="75">
        <f t="shared" si="7"/>
        <v>6</v>
      </c>
      <c r="AD8" s="54">
        <v>24.66</v>
      </c>
      <c r="AE8" s="55">
        <v>25</v>
      </c>
      <c r="AF8" s="150"/>
      <c r="AG8" s="75">
        <f t="shared" si="8"/>
        <v>6</v>
      </c>
      <c r="AH8" s="54">
        <v>35</v>
      </c>
      <c r="AI8" s="55">
        <v>520</v>
      </c>
      <c r="AJ8" s="150"/>
      <c r="AK8" s="75">
        <f t="shared" si="9"/>
        <v>6</v>
      </c>
      <c r="AL8" s="54">
        <v>13.66</v>
      </c>
      <c r="AM8" s="55">
        <v>100</v>
      </c>
      <c r="AN8" s="150"/>
      <c r="AO8" s="75">
        <f t="shared" si="10"/>
        <v>6</v>
      </c>
      <c r="AP8" s="54">
        <v>11.5</v>
      </c>
      <c r="AQ8" s="55">
        <v>200</v>
      </c>
      <c r="AR8" s="150"/>
      <c r="AS8" s="75">
        <f t="shared" si="11"/>
        <v>6</v>
      </c>
      <c r="AT8" s="54">
        <v>65.899999999999991</v>
      </c>
      <c r="AU8" s="55">
        <v>445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17.3</v>
      </c>
      <c r="C9" s="55">
        <v>60</v>
      </c>
      <c r="D9" s="150"/>
      <c r="E9" s="75">
        <f t="shared" si="1"/>
        <v>7</v>
      </c>
      <c r="F9" s="54">
        <v>26.4</v>
      </c>
      <c r="G9" s="55">
        <v>348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10</v>
      </c>
      <c r="O9" s="55">
        <v>20</v>
      </c>
      <c r="P9" s="150"/>
      <c r="Q9" s="75">
        <f t="shared" si="4"/>
        <v>7</v>
      </c>
      <c r="R9" s="54">
        <v>16.600000000000001</v>
      </c>
      <c r="S9" s="55">
        <v>165</v>
      </c>
      <c r="T9" s="150"/>
      <c r="U9" s="75">
        <f t="shared" si="5"/>
        <v>7</v>
      </c>
      <c r="V9" s="54">
        <v>77.029999999999987</v>
      </c>
      <c r="W9" s="55">
        <v>857</v>
      </c>
      <c r="X9" s="150"/>
      <c r="Y9" s="75">
        <f t="shared" si="6"/>
        <v>7</v>
      </c>
      <c r="Z9" s="54">
        <v>13.02</v>
      </c>
      <c r="AA9" s="55">
        <v>52</v>
      </c>
      <c r="AB9" s="150"/>
      <c r="AC9" s="75">
        <f t="shared" si="7"/>
        <v>7</v>
      </c>
      <c r="AD9" s="54">
        <v>24.650000000000002</v>
      </c>
      <c r="AE9" s="55">
        <v>150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>
        <v>10</v>
      </c>
      <c r="AM9" s="55">
        <v>20</v>
      </c>
      <c r="AN9" s="150"/>
      <c r="AO9" s="75">
        <f t="shared" si="10"/>
        <v>7</v>
      </c>
      <c r="AP9" s="54">
        <v>37.89</v>
      </c>
      <c r="AQ9" s="55">
        <v>355</v>
      </c>
      <c r="AR9" s="150"/>
      <c r="AS9" s="75">
        <f t="shared" si="11"/>
        <v>7</v>
      </c>
      <c r="AT9" s="54">
        <v>10</v>
      </c>
      <c r="AU9" s="55">
        <v>30</v>
      </c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24.6</v>
      </c>
      <c r="G10" s="55">
        <v>260</v>
      </c>
      <c r="H10" s="150"/>
      <c r="I10" s="75">
        <f t="shared" si="2"/>
        <v>8</v>
      </c>
      <c r="J10" s="54"/>
      <c r="K10" s="55"/>
      <c r="L10" s="150"/>
      <c r="M10" s="75">
        <f t="shared" si="3"/>
        <v>8</v>
      </c>
      <c r="N10" s="54">
        <v>20.66</v>
      </c>
      <c r="O10" s="55">
        <v>163</v>
      </c>
      <c r="P10" s="150"/>
      <c r="Q10" s="75">
        <f t="shared" si="4"/>
        <v>8</v>
      </c>
      <c r="R10" s="54">
        <v>18.68</v>
      </c>
      <c r="S10" s="55">
        <v>102</v>
      </c>
      <c r="T10" s="150"/>
      <c r="U10" s="75">
        <f t="shared" si="5"/>
        <v>8</v>
      </c>
      <c r="V10" s="54">
        <v>10.1</v>
      </c>
      <c r="W10" s="55">
        <v>25</v>
      </c>
      <c r="X10" s="150"/>
      <c r="Y10" s="75">
        <f t="shared" si="6"/>
        <v>8</v>
      </c>
      <c r="Z10" s="54">
        <v>10.3</v>
      </c>
      <c r="AA10" s="55">
        <v>100</v>
      </c>
      <c r="AB10" s="150"/>
      <c r="AC10" s="75">
        <f t="shared" si="7"/>
        <v>8</v>
      </c>
      <c r="AD10" s="54">
        <v>58.26</v>
      </c>
      <c r="AE10" s="55">
        <v>418</v>
      </c>
      <c r="AF10" s="150"/>
      <c r="AG10" s="75">
        <f t="shared" si="8"/>
        <v>8</v>
      </c>
      <c r="AH10" s="54">
        <v>10</v>
      </c>
      <c r="AI10" s="49">
        <v>20</v>
      </c>
      <c r="AJ10" s="150"/>
      <c r="AK10" s="75">
        <f t="shared" si="9"/>
        <v>8</v>
      </c>
      <c r="AL10" s="54">
        <v>10</v>
      </c>
      <c r="AM10" s="55">
        <v>30</v>
      </c>
      <c r="AN10" s="150"/>
      <c r="AO10" s="75">
        <f t="shared" si="10"/>
        <v>8</v>
      </c>
      <c r="AP10" s="54">
        <v>43.6</v>
      </c>
      <c r="AQ10" s="55">
        <v>1030</v>
      </c>
      <c r="AR10" s="150"/>
      <c r="AS10" s="75">
        <f t="shared" si="11"/>
        <v>8</v>
      </c>
      <c r="AT10" s="54">
        <v>13</v>
      </c>
      <c r="AU10" s="55">
        <v>45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16.600000000000001</v>
      </c>
      <c r="C11" s="55">
        <v>35</v>
      </c>
      <c r="D11" s="150"/>
      <c r="E11" s="75">
        <f t="shared" si="1"/>
        <v>9</v>
      </c>
      <c r="F11" s="54">
        <v>9</v>
      </c>
      <c r="G11" s="55">
        <v>10</v>
      </c>
      <c r="H11" s="150"/>
      <c r="I11" s="75">
        <f t="shared" si="2"/>
        <v>9</v>
      </c>
      <c r="J11" s="54">
        <v>44.5</v>
      </c>
      <c r="K11" s="55">
        <v>576</v>
      </c>
      <c r="L11" s="150"/>
      <c r="M11" s="75">
        <f t="shared" si="3"/>
        <v>9</v>
      </c>
      <c r="N11" s="54">
        <v>10.960000000000003</v>
      </c>
      <c r="O11" s="55">
        <v>40</v>
      </c>
      <c r="P11" s="150"/>
      <c r="Q11" s="75">
        <f t="shared" si="4"/>
        <v>9</v>
      </c>
      <c r="R11" s="54">
        <v>56</v>
      </c>
      <c r="S11" s="55">
        <v>355</v>
      </c>
      <c r="T11" s="150"/>
      <c r="U11" s="75">
        <f t="shared" si="5"/>
        <v>9</v>
      </c>
      <c r="V11" s="54"/>
      <c r="W11" s="55"/>
      <c r="X11" s="150"/>
      <c r="Y11" s="75">
        <f t="shared" si="6"/>
        <v>9</v>
      </c>
      <c r="Z11" s="54">
        <v>11.5</v>
      </c>
      <c r="AA11" s="55">
        <v>145</v>
      </c>
      <c r="AB11" s="150"/>
      <c r="AC11" s="75">
        <f t="shared" si="7"/>
        <v>9</v>
      </c>
      <c r="AD11" s="54">
        <v>89.5</v>
      </c>
      <c r="AE11" s="55">
        <v>1005</v>
      </c>
      <c r="AF11" s="150"/>
      <c r="AG11" s="75">
        <f t="shared" si="8"/>
        <v>9</v>
      </c>
      <c r="AH11" s="54">
        <v>10</v>
      </c>
      <c r="AI11" s="55">
        <v>40</v>
      </c>
      <c r="AJ11" s="150"/>
      <c r="AK11" s="75">
        <f t="shared" si="9"/>
        <v>9</v>
      </c>
      <c r="AL11" s="54">
        <v>27.06</v>
      </c>
      <c r="AM11" s="55">
        <v>160</v>
      </c>
      <c r="AN11" s="150"/>
      <c r="AO11" s="75">
        <f t="shared" si="10"/>
        <v>9</v>
      </c>
      <c r="AP11" s="54">
        <v>14.5</v>
      </c>
      <c r="AQ11" s="55">
        <v>50</v>
      </c>
      <c r="AR11" s="150"/>
      <c r="AS11" s="75">
        <f t="shared" si="11"/>
        <v>9</v>
      </c>
      <c r="AT11" s="54">
        <v>12</v>
      </c>
      <c r="AU11" s="55">
        <v>35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13.5</v>
      </c>
      <c r="C12" s="55">
        <v>80</v>
      </c>
      <c r="D12" s="150"/>
      <c r="E12" s="75">
        <f t="shared" si="1"/>
        <v>10</v>
      </c>
      <c r="F12" s="54">
        <v>10.3</v>
      </c>
      <c r="G12" s="55">
        <v>30</v>
      </c>
      <c r="H12" s="150"/>
      <c r="I12" s="75">
        <f t="shared" si="2"/>
        <v>10</v>
      </c>
      <c r="J12" s="54">
        <v>42</v>
      </c>
      <c r="K12" s="55">
        <v>140</v>
      </c>
      <c r="L12" s="150"/>
      <c r="M12" s="75">
        <f t="shared" si="3"/>
        <v>10</v>
      </c>
      <c r="N12" s="54">
        <v>20</v>
      </c>
      <c r="O12" s="55">
        <v>185</v>
      </c>
      <c r="P12" s="150"/>
      <c r="Q12" s="75">
        <f t="shared" si="4"/>
        <v>10</v>
      </c>
      <c r="R12" s="54">
        <v>100.89999999999999</v>
      </c>
      <c r="S12" s="55">
        <v>245</v>
      </c>
      <c r="T12" s="150"/>
      <c r="U12" s="75">
        <f t="shared" si="5"/>
        <v>10</v>
      </c>
      <c r="V12" s="54">
        <v>23.66</v>
      </c>
      <c r="W12" s="55">
        <v>112</v>
      </c>
      <c r="X12" s="150"/>
      <c r="Y12" s="75">
        <f t="shared" si="6"/>
        <v>10</v>
      </c>
      <c r="Z12" s="54">
        <v>10.3</v>
      </c>
      <c r="AA12" s="55">
        <v>100</v>
      </c>
      <c r="AB12" s="150"/>
      <c r="AC12" s="75">
        <f t="shared" si="7"/>
        <v>10</v>
      </c>
      <c r="AD12" s="54">
        <v>10</v>
      </c>
      <c r="AE12" s="55">
        <v>20</v>
      </c>
      <c r="AF12" s="150"/>
      <c r="AG12" s="75">
        <f t="shared" si="8"/>
        <v>10</v>
      </c>
      <c r="AH12" s="54">
        <v>15</v>
      </c>
      <c r="AI12" s="49">
        <v>60</v>
      </c>
      <c r="AJ12" s="150"/>
      <c r="AK12" s="75">
        <f t="shared" si="9"/>
        <v>10</v>
      </c>
      <c r="AL12" s="54">
        <v>65.12</v>
      </c>
      <c r="AM12" s="55">
        <v>737</v>
      </c>
      <c r="AN12" s="150"/>
      <c r="AO12" s="75">
        <f t="shared" si="10"/>
        <v>10</v>
      </c>
      <c r="AP12" s="54">
        <v>10.5</v>
      </c>
      <c r="AQ12" s="55">
        <v>20</v>
      </c>
      <c r="AR12" s="150"/>
      <c r="AS12" s="75">
        <f t="shared" si="11"/>
        <v>10</v>
      </c>
      <c r="AT12" s="54">
        <v>12</v>
      </c>
      <c r="AU12" s="55">
        <v>40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25</v>
      </c>
      <c r="C13" s="55">
        <v>210</v>
      </c>
      <c r="D13" s="150"/>
      <c r="E13" s="75">
        <f t="shared" si="1"/>
        <v>11</v>
      </c>
      <c r="F13" s="54">
        <v>10.1</v>
      </c>
      <c r="G13" s="55">
        <v>15</v>
      </c>
      <c r="H13" s="150"/>
      <c r="I13" s="75">
        <f t="shared" si="2"/>
        <v>11</v>
      </c>
      <c r="J13" s="54">
        <v>15.5</v>
      </c>
      <c r="K13" s="55">
        <v>95</v>
      </c>
      <c r="L13" s="150"/>
      <c r="M13" s="75">
        <f t="shared" si="3"/>
        <v>11</v>
      </c>
      <c r="N13" s="54">
        <v>51.220000000000006</v>
      </c>
      <c r="O13" s="55">
        <v>163</v>
      </c>
      <c r="P13" s="150"/>
      <c r="Q13" s="75">
        <f t="shared" si="4"/>
        <v>11</v>
      </c>
      <c r="R13" s="54">
        <v>18.3</v>
      </c>
      <c r="S13" s="55">
        <v>404</v>
      </c>
      <c r="T13" s="150"/>
      <c r="U13" s="75">
        <f t="shared" si="5"/>
        <v>11</v>
      </c>
      <c r="V13" s="54">
        <v>27.06</v>
      </c>
      <c r="W13" s="55">
        <v>160</v>
      </c>
      <c r="X13" s="150"/>
      <c r="Y13" s="75">
        <f t="shared" si="6"/>
        <v>11</v>
      </c>
      <c r="Z13" s="54">
        <v>58.480000000000004</v>
      </c>
      <c r="AA13" s="55">
        <v>910</v>
      </c>
      <c r="AB13" s="150"/>
      <c r="AC13" s="75">
        <f t="shared" si="7"/>
        <v>11</v>
      </c>
      <c r="AD13" s="54">
        <v>14</v>
      </c>
      <c r="AE13" s="55">
        <v>100</v>
      </c>
      <c r="AF13" s="150"/>
      <c r="AG13" s="75">
        <f t="shared" si="8"/>
        <v>11</v>
      </c>
      <c r="AH13" s="54">
        <v>10.6</v>
      </c>
      <c r="AI13" s="55">
        <v>350</v>
      </c>
      <c r="AJ13" s="150"/>
      <c r="AK13" s="75">
        <f t="shared" si="9"/>
        <v>11</v>
      </c>
      <c r="AL13" s="54">
        <v>0.8</v>
      </c>
      <c r="AM13" s="55">
        <v>2</v>
      </c>
      <c r="AN13" s="150"/>
      <c r="AO13" s="75">
        <f t="shared" si="10"/>
        <v>11</v>
      </c>
      <c r="AP13" s="54">
        <v>11</v>
      </c>
      <c r="AQ13" s="55">
        <v>60</v>
      </c>
      <c r="AR13" s="150"/>
      <c r="AS13" s="75">
        <f t="shared" si="11"/>
        <v>11</v>
      </c>
      <c r="AT13" s="54">
        <v>11</v>
      </c>
      <c r="AU13" s="55">
        <v>30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>
        <v>11.1</v>
      </c>
      <c r="G14" s="55">
        <v>30</v>
      </c>
      <c r="H14" s="150"/>
      <c r="I14" s="75">
        <f t="shared" si="2"/>
        <v>12</v>
      </c>
      <c r="J14" s="54">
        <v>14.3</v>
      </c>
      <c r="K14" s="55">
        <v>160</v>
      </c>
      <c r="L14" s="150"/>
      <c r="M14" s="75">
        <f t="shared" si="3"/>
        <v>12</v>
      </c>
      <c r="N14" s="54">
        <v>50</v>
      </c>
      <c r="O14" s="55">
        <v>350</v>
      </c>
      <c r="P14" s="150"/>
      <c r="Q14" s="75">
        <f t="shared" si="4"/>
        <v>12</v>
      </c>
      <c r="R14" s="54">
        <v>14.219999999999999</v>
      </c>
      <c r="S14" s="55">
        <v>90</v>
      </c>
      <c r="T14" s="150"/>
      <c r="U14" s="75">
        <f t="shared" si="5"/>
        <v>12</v>
      </c>
      <c r="V14" s="54">
        <v>17.5</v>
      </c>
      <c r="W14" s="55">
        <v>350</v>
      </c>
      <c r="X14" s="150"/>
      <c r="Y14" s="75">
        <f t="shared" si="6"/>
        <v>12</v>
      </c>
      <c r="Z14" s="54">
        <v>70.62</v>
      </c>
      <c r="AA14" s="55">
        <v>948</v>
      </c>
      <c r="AB14" s="150"/>
      <c r="AC14" s="75">
        <f t="shared" si="7"/>
        <v>12</v>
      </c>
      <c r="AD14" s="54">
        <v>17.149999999999999</v>
      </c>
      <c r="AE14" s="78">
        <v>57</v>
      </c>
      <c r="AF14" s="150"/>
      <c r="AG14" s="75">
        <f t="shared" si="8"/>
        <v>12</v>
      </c>
      <c r="AH14" s="54">
        <v>50.6</v>
      </c>
      <c r="AI14" s="55">
        <v>455</v>
      </c>
      <c r="AJ14" s="150"/>
      <c r="AK14" s="75">
        <f t="shared" si="9"/>
        <v>12</v>
      </c>
      <c r="AL14" s="54">
        <v>17.27</v>
      </c>
      <c r="AM14" s="55">
        <v>97</v>
      </c>
      <c r="AN14" s="150"/>
      <c r="AO14" s="75">
        <f t="shared" si="10"/>
        <v>12</v>
      </c>
      <c r="AP14" s="54">
        <v>19.2</v>
      </c>
      <c r="AQ14" s="55">
        <v>64</v>
      </c>
      <c r="AR14" s="150"/>
      <c r="AS14" s="75">
        <f t="shared" si="11"/>
        <v>12</v>
      </c>
      <c r="AT14" s="54">
        <v>14</v>
      </c>
      <c r="AU14" s="55">
        <v>35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10.1</v>
      </c>
      <c r="G15" s="55">
        <v>30</v>
      </c>
      <c r="H15" s="150"/>
      <c r="I15" s="75">
        <f t="shared" si="2"/>
        <v>13</v>
      </c>
      <c r="J15" s="54">
        <v>6.4</v>
      </c>
      <c r="K15" s="55">
        <v>15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10.7</v>
      </c>
      <c r="S15" s="55">
        <v>80</v>
      </c>
      <c r="T15" s="150"/>
      <c r="U15" s="75">
        <f t="shared" si="5"/>
        <v>13</v>
      </c>
      <c r="V15" s="54">
        <v>40.159999999999997</v>
      </c>
      <c r="W15" s="55">
        <v>232</v>
      </c>
      <c r="X15" s="150"/>
      <c r="Y15" s="75">
        <f t="shared" si="6"/>
        <v>13</v>
      </c>
      <c r="Z15" s="54">
        <v>11</v>
      </c>
      <c r="AA15" s="55">
        <v>5</v>
      </c>
      <c r="AB15" s="150"/>
      <c r="AC15" s="75">
        <f t="shared" si="7"/>
        <v>13</v>
      </c>
      <c r="AD15" s="54">
        <v>16.48</v>
      </c>
      <c r="AE15" s="55">
        <v>55</v>
      </c>
      <c r="AF15" s="150"/>
      <c r="AG15" s="75">
        <f t="shared" si="8"/>
        <v>13</v>
      </c>
      <c r="AH15" s="54">
        <v>15</v>
      </c>
      <c r="AI15" s="55">
        <v>90</v>
      </c>
      <c r="AJ15" s="150"/>
      <c r="AK15" s="75">
        <f t="shared" si="9"/>
        <v>13</v>
      </c>
      <c r="AL15" s="54">
        <v>1.5</v>
      </c>
      <c r="AM15" s="55">
        <v>5</v>
      </c>
      <c r="AN15" s="150"/>
      <c r="AO15" s="75">
        <f t="shared" si="10"/>
        <v>13</v>
      </c>
      <c r="AP15" s="54">
        <v>53.75</v>
      </c>
      <c r="AQ15" s="55">
        <v>647</v>
      </c>
      <c r="AR15" s="150"/>
      <c r="AS15" s="75">
        <f t="shared" si="11"/>
        <v>13</v>
      </c>
      <c r="AT15" s="54">
        <v>31</v>
      </c>
      <c r="AU15" s="55">
        <v>154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17.3</v>
      </c>
      <c r="G16" s="55">
        <v>305</v>
      </c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/>
      <c r="O16" s="55"/>
      <c r="P16" s="150"/>
      <c r="Q16" s="75">
        <f t="shared" si="4"/>
        <v>14</v>
      </c>
      <c r="R16" s="54">
        <v>121.18</v>
      </c>
      <c r="S16" s="49">
        <v>1535</v>
      </c>
      <c r="T16" s="150"/>
      <c r="U16" s="75">
        <f t="shared" si="5"/>
        <v>14</v>
      </c>
      <c r="V16" s="54">
        <v>18.600000000000001</v>
      </c>
      <c r="W16" s="55">
        <v>135</v>
      </c>
      <c r="X16" s="150"/>
      <c r="Y16" s="75">
        <f t="shared" si="6"/>
        <v>14</v>
      </c>
      <c r="Z16" s="54">
        <v>10</v>
      </c>
      <c r="AA16" s="55">
        <v>20</v>
      </c>
      <c r="AB16" s="150"/>
      <c r="AC16" s="75">
        <f t="shared" si="7"/>
        <v>14</v>
      </c>
      <c r="AD16" s="54">
        <v>16.399999999999999</v>
      </c>
      <c r="AE16" s="55">
        <v>50</v>
      </c>
      <c r="AF16" s="150"/>
      <c r="AG16" s="75">
        <f t="shared" si="8"/>
        <v>14</v>
      </c>
      <c r="AH16" s="54">
        <v>24.66</v>
      </c>
      <c r="AI16" s="55">
        <v>25</v>
      </c>
      <c r="AJ16" s="150"/>
      <c r="AK16" s="75">
        <f t="shared" si="9"/>
        <v>14</v>
      </c>
      <c r="AL16" s="54">
        <v>19</v>
      </c>
      <c r="AM16" s="55">
        <v>30</v>
      </c>
      <c r="AN16" s="150"/>
      <c r="AO16" s="75">
        <f t="shared" si="10"/>
        <v>14</v>
      </c>
      <c r="AP16" s="54">
        <v>43.6</v>
      </c>
      <c r="AQ16" s="55">
        <v>1030</v>
      </c>
      <c r="AR16" s="150"/>
      <c r="AS16" s="75">
        <f t="shared" si="11"/>
        <v>14</v>
      </c>
      <c r="AT16" s="54">
        <v>15.5</v>
      </c>
      <c r="AU16" s="55">
        <v>60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19</v>
      </c>
      <c r="C17" s="55">
        <v>400</v>
      </c>
      <c r="D17" s="150"/>
      <c r="E17" s="75">
        <f t="shared" si="1"/>
        <v>15</v>
      </c>
      <c r="F17" s="54">
        <v>20.399999999999999</v>
      </c>
      <c r="G17" s="55">
        <v>140</v>
      </c>
      <c r="H17" s="150">
        <v>2.7777777777777776E-2</v>
      </c>
      <c r="I17" s="75">
        <f t="shared" si="2"/>
        <v>15</v>
      </c>
      <c r="J17" s="54">
        <v>10</v>
      </c>
      <c r="K17" s="55">
        <v>5</v>
      </c>
      <c r="L17" s="150"/>
      <c r="M17" s="75">
        <f t="shared" si="3"/>
        <v>15</v>
      </c>
      <c r="N17" s="54">
        <v>12.46</v>
      </c>
      <c r="O17" s="55">
        <v>351</v>
      </c>
      <c r="P17" s="150"/>
      <c r="Q17" s="75">
        <f t="shared" si="4"/>
        <v>15</v>
      </c>
      <c r="R17" s="54">
        <v>16.100000000000001</v>
      </c>
      <c r="S17" s="49">
        <v>160</v>
      </c>
      <c r="T17" s="150"/>
      <c r="U17" s="75">
        <f t="shared" si="5"/>
        <v>15</v>
      </c>
      <c r="V17" s="54">
        <v>52.55</v>
      </c>
      <c r="W17" s="55">
        <v>300</v>
      </c>
      <c r="X17" s="150"/>
      <c r="Y17" s="75">
        <f t="shared" si="6"/>
        <v>15</v>
      </c>
      <c r="Z17" s="54">
        <v>10</v>
      </c>
      <c r="AA17" s="55">
        <v>20</v>
      </c>
      <c r="AB17" s="150"/>
      <c r="AC17" s="75">
        <f t="shared" si="7"/>
        <v>15</v>
      </c>
      <c r="AD17" s="54">
        <v>34.75</v>
      </c>
      <c r="AE17" s="55">
        <v>520</v>
      </c>
      <c r="AF17" s="150"/>
      <c r="AG17" s="75">
        <f t="shared" si="8"/>
        <v>15</v>
      </c>
      <c r="AH17" s="54"/>
      <c r="AI17" s="55"/>
      <c r="AJ17" s="150"/>
      <c r="AK17" s="75">
        <f t="shared" si="9"/>
        <v>15</v>
      </c>
      <c r="AL17" s="54">
        <v>18</v>
      </c>
      <c r="AM17" s="55">
        <v>30</v>
      </c>
      <c r="AN17" s="150"/>
      <c r="AO17" s="75">
        <f t="shared" si="10"/>
        <v>15</v>
      </c>
      <c r="AP17" s="54">
        <v>10</v>
      </c>
      <c r="AQ17" s="55">
        <v>30</v>
      </c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15.6</v>
      </c>
      <c r="C18" s="55">
        <v>600</v>
      </c>
      <c r="D18" s="150"/>
      <c r="E18" s="75">
        <f t="shared" si="1"/>
        <v>16</v>
      </c>
      <c r="F18" s="54">
        <v>13.96</v>
      </c>
      <c r="G18" s="55">
        <v>140</v>
      </c>
      <c r="H18" s="150"/>
      <c r="I18" s="75">
        <f t="shared" si="2"/>
        <v>16</v>
      </c>
      <c r="J18" s="54">
        <v>23</v>
      </c>
      <c r="K18" s="55">
        <v>105</v>
      </c>
      <c r="L18" s="150"/>
      <c r="M18" s="75">
        <f t="shared" si="3"/>
        <v>16</v>
      </c>
      <c r="N18" s="54">
        <v>12.46</v>
      </c>
      <c r="O18" s="55">
        <v>351</v>
      </c>
      <c r="P18" s="150"/>
      <c r="Q18" s="75">
        <f t="shared" si="4"/>
        <v>16</v>
      </c>
      <c r="R18" s="54">
        <v>65.599999999999994</v>
      </c>
      <c r="S18" s="55">
        <v>1014</v>
      </c>
      <c r="T18" s="150"/>
      <c r="U18" s="75">
        <f t="shared" si="5"/>
        <v>16</v>
      </c>
      <c r="V18" s="54">
        <v>65</v>
      </c>
      <c r="W18" s="55">
        <v>170</v>
      </c>
      <c r="X18" s="150"/>
      <c r="Y18" s="75">
        <f t="shared" si="6"/>
        <v>16</v>
      </c>
      <c r="Z18" s="54">
        <v>10</v>
      </c>
      <c r="AA18" s="55">
        <v>20</v>
      </c>
      <c r="AB18" s="150"/>
      <c r="AC18" s="75">
        <f t="shared" si="7"/>
        <v>16</v>
      </c>
      <c r="AD18" s="54"/>
      <c r="AE18" s="55"/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>
        <v>17</v>
      </c>
      <c r="AM18" s="55">
        <v>30</v>
      </c>
      <c r="AN18" s="150"/>
      <c r="AO18" s="75">
        <f t="shared" si="10"/>
        <v>16</v>
      </c>
      <c r="AP18" s="54">
        <v>10.350000000000001</v>
      </c>
      <c r="AQ18" s="55">
        <v>32</v>
      </c>
      <c r="AR18" s="150"/>
      <c r="AS18" s="75">
        <f t="shared" si="11"/>
        <v>16</v>
      </c>
      <c r="AT18" s="54">
        <v>11</v>
      </c>
      <c r="AU18" s="55">
        <v>30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30</v>
      </c>
      <c r="C19" s="55">
        <v>830</v>
      </c>
      <c r="D19" s="150"/>
      <c r="E19" s="75">
        <f t="shared" si="1"/>
        <v>17</v>
      </c>
      <c r="F19" s="54">
        <v>8.26</v>
      </c>
      <c r="G19" s="55">
        <v>70</v>
      </c>
      <c r="H19" s="150"/>
      <c r="I19" s="75">
        <f t="shared" si="2"/>
        <v>17</v>
      </c>
      <c r="J19" s="54">
        <v>12.65</v>
      </c>
      <c r="K19" s="55">
        <v>80</v>
      </c>
      <c r="L19" s="150"/>
      <c r="M19" s="75">
        <f t="shared" si="3"/>
        <v>17</v>
      </c>
      <c r="N19" s="54">
        <v>21.3</v>
      </c>
      <c r="O19" s="55">
        <v>65</v>
      </c>
      <c r="P19" s="150"/>
      <c r="Q19" s="75">
        <f t="shared" si="4"/>
        <v>17</v>
      </c>
      <c r="R19" s="54">
        <v>26.9</v>
      </c>
      <c r="S19" s="55">
        <v>482</v>
      </c>
      <c r="T19" s="150"/>
      <c r="U19" s="75">
        <f t="shared" si="5"/>
        <v>17</v>
      </c>
      <c r="V19" s="54">
        <v>30.36</v>
      </c>
      <c r="W19" s="55">
        <v>422</v>
      </c>
      <c r="X19" s="150"/>
      <c r="Y19" s="75">
        <f t="shared" si="6"/>
        <v>17</v>
      </c>
      <c r="Z19" s="54">
        <v>16.259999999999998</v>
      </c>
      <c r="AA19" s="55">
        <v>72</v>
      </c>
      <c r="AB19" s="150"/>
      <c r="AC19" s="75">
        <f t="shared" si="7"/>
        <v>17</v>
      </c>
      <c r="AD19" s="54"/>
      <c r="AE19" s="55"/>
      <c r="AF19" s="150"/>
      <c r="AG19" s="75">
        <f t="shared" si="8"/>
        <v>17</v>
      </c>
      <c r="AH19" s="54">
        <v>19.2</v>
      </c>
      <c r="AI19" s="55">
        <v>20</v>
      </c>
      <c r="AJ19" s="150"/>
      <c r="AK19" s="75">
        <f t="shared" si="9"/>
        <v>17</v>
      </c>
      <c r="AL19" s="54">
        <v>53.4</v>
      </c>
      <c r="AM19" s="55">
        <v>110</v>
      </c>
      <c r="AN19" s="150"/>
      <c r="AO19" s="75">
        <f t="shared" si="10"/>
        <v>17</v>
      </c>
      <c r="AP19" s="54">
        <v>11</v>
      </c>
      <c r="AQ19" s="55">
        <v>30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21</v>
      </c>
      <c r="C20" s="55">
        <v>540</v>
      </c>
      <c r="D20" s="150"/>
      <c r="E20" s="75">
        <f t="shared" si="1"/>
        <v>18</v>
      </c>
      <c r="F20" s="54"/>
      <c r="G20" s="55"/>
      <c r="H20" s="150"/>
      <c r="I20" s="75">
        <f t="shared" si="2"/>
        <v>18</v>
      </c>
      <c r="J20" s="54">
        <v>70.38</v>
      </c>
      <c r="K20" s="55">
        <v>820</v>
      </c>
      <c r="L20" s="150"/>
      <c r="M20" s="75">
        <f t="shared" si="3"/>
        <v>18</v>
      </c>
      <c r="N20" s="54">
        <v>64.539999999999992</v>
      </c>
      <c r="O20" s="55">
        <v>449</v>
      </c>
      <c r="P20" s="150"/>
      <c r="Q20" s="75">
        <f t="shared" si="4"/>
        <v>18</v>
      </c>
      <c r="R20" s="54">
        <v>16.100000000000001</v>
      </c>
      <c r="S20" s="55">
        <v>160</v>
      </c>
      <c r="T20" s="150"/>
      <c r="U20" s="75">
        <f t="shared" si="5"/>
        <v>18</v>
      </c>
      <c r="V20" s="54">
        <v>24.66</v>
      </c>
      <c r="W20" s="55">
        <v>25</v>
      </c>
      <c r="X20" s="150"/>
      <c r="Y20" s="75">
        <f t="shared" si="6"/>
        <v>18</v>
      </c>
      <c r="Z20" s="54">
        <v>55.01</v>
      </c>
      <c r="AA20" s="55">
        <v>462</v>
      </c>
      <c r="AB20" s="150"/>
      <c r="AC20" s="75">
        <f t="shared" si="7"/>
        <v>18</v>
      </c>
      <c r="AD20" s="54"/>
      <c r="AE20" s="55"/>
      <c r="AF20" s="150"/>
      <c r="AG20" s="75">
        <f t="shared" si="8"/>
        <v>18</v>
      </c>
      <c r="AH20" s="54">
        <v>10</v>
      </c>
      <c r="AI20" s="55">
        <v>40</v>
      </c>
      <c r="AJ20" s="150"/>
      <c r="AK20" s="75">
        <f t="shared" si="9"/>
        <v>18</v>
      </c>
      <c r="AL20" s="54">
        <v>18.3</v>
      </c>
      <c r="AM20" s="55">
        <v>75</v>
      </c>
      <c r="AN20" s="150"/>
      <c r="AO20" s="75">
        <f t="shared" si="10"/>
        <v>18</v>
      </c>
      <c r="AP20" s="54"/>
      <c r="AQ20" s="55"/>
      <c r="AR20" s="150"/>
      <c r="AS20" s="75">
        <f t="shared" si="11"/>
        <v>18</v>
      </c>
      <c r="AT20" s="54">
        <v>11.4</v>
      </c>
      <c r="AU20" s="55">
        <v>40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13.5</v>
      </c>
      <c r="C21" s="55">
        <v>680</v>
      </c>
      <c r="D21" s="150"/>
      <c r="E21" s="75">
        <f t="shared" si="1"/>
        <v>19</v>
      </c>
      <c r="F21" s="54">
        <v>12</v>
      </c>
      <c r="G21" s="55">
        <v>20</v>
      </c>
      <c r="H21" s="150"/>
      <c r="I21" s="75">
        <f t="shared" si="2"/>
        <v>19</v>
      </c>
      <c r="J21" s="54">
        <v>10</v>
      </c>
      <c r="K21" s="55">
        <v>30</v>
      </c>
      <c r="L21" s="150"/>
      <c r="M21" s="75">
        <f t="shared" si="3"/>
        <v>19</v>
      </c>
      <c r="N21" s="54">
        <v>52.99</v>
      </c>
      <c r="O21" s="55">
        <v>1236</v>
      </c>
      <c r="P21" s="150"/>
      <c r="Q21" s="75">
        <f t="shared" si="4"/>
        <v>19</v>
      </c>
      <c r="R21" s="54">
        <v>10.6</v>
      </c>
      <c r="S21" s="55">
        <v>25</v>
      </c>
      <c r="T21" s="150"/>
      <c r="U21" s="75">
        <f t="shared" si="5"/>
        <v>19</v>
      </c>
      <c r="V21" s="54">
        <v>43.9</v>
      </c>
      <c r="W21" s="55">
        <v>300</v>
      </c>
      <c r="X21" s="150"/>
      <c r="Y21" s="75">
        <f t="shared" si="6"/>
        <v>19</v>
      </c>
      <c r="Z21" s="54">
        <v>27.3</v>
      </c>
      <c r="AA21" s="55">
        <v>460</v>
      </c>
      <c r="AB21" s="150"/>
      <c r="AC21" s="75">
        <f t="shared" si="7"/>
        <v>19</v>
      </c>
      <c r="AD21" s="54"/>
      <c r="AE21" s="55"/>
      <c r="AF21" s="150"/>
      <c r="AG21" s="75">
        <f t="shared" si="8"/>
        <v>19</v>
      </c>
      <c r="AH21" s="54">
        <v>25</v>
      </c>
      <c r="AI21" s="55">
        <v>25</v>
      </c>
      <c r="AJ21" s="150"/>
      <c r="AK21" s="75">
        <f t="shared" si="9"/>
        <v>19</v>
      </c>
      <c r="AL21" s="54">
        <v>17</v>
      </c>
      <c r="AM21" s="55">
        <v>30</v>
      </c>
      <c r="AN21" s="150"/>
      <c r="AO21" s="75">
        <f t="shared" si="10"/>
        <v>19</v>
      </c>
      <c r="AP21" s="54">
        <v>9</v>
      </c>
      <c r="AQ21" s="55">
        <v>5</v>
      </c>
      <c r="AR21" s="150"/>
      <c r="AS21" s="75">
        <f t="shared" si="11"/>
        <v>19</v>
      </c>
      <c r="AT21" s="54">
        <v>58.72</v>
      </c>
      <c r="AU21" s="55">
        <v>718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>
        <v>10.5</v>
      </c>
      <c r="G22" s="55">
        <v>185</v>
      </c>
      <c r="H22" s="150"/>
      <c r="I22" s="75">
        <f t="shared" si="2"/>
        <v>20</v>
      </c>
      <c r="J22" s="54">
        <v>15.51</v>
      </c>
      <c r="K22" s="55">
        <v>158</v>
      </c>
      <c r="L22" s="150"/>
      <c r="M22" s="75">
        <f t="shared" si="3"/>
        <v>20</v>
      </c>
      <c r="N22" s="54">
        <v>13.5</v>
      </c>
      <c r="O22" s="55">
        <v>52</v>
      </c>
      <c r="P22" s="150"/>
      <c r="Q22" s="75">
        <f t="shared" si="4"/>
        <v>20</v>
      </c>
      <c r="R22" s="54">
        <v>14.4</v>
      </c>
      <c r="S22" s="55">
        <v>5</v>
      </c>
      <c r="T22" s="150"/>
      <c r="U22" s="75">
        <f t="shared" si="5"/>
        <v>20</v>
      </c>
      <c r="V22" s="54">
        <v>24.66</v>
      </c>
      <c r="W22" s="55">
        <v>25</v>
      </c>
      <c r="X22" s="150"/>
      <c r="Y22" s="75">
        <f t="shared" si="6"/>
        <v>20</v>
      </c>
      <c r="Z22" s="54">
        <v>20.2</v>
      </c>
      <c r="AA22" s="55">
        <v>30</v>
      </c>
      <c r="AB22" s="150"/>
      <c r="AC22" s="75">
        <f t="shared" si="7"/>
        <v>20</v>
      </c>
      <c r="AD22" s="54"/>
      <c r="AE22" s="55"/>
      <c r="AF22" s="150"/>
      <c r="AG22" s="75">
        <f t="shared" si="8"/>
        <v>20</v>
      </c>
      <c r="AH22" s="54">
        <v>61.7</v>
      </c>
      <c r="AI22" s="55">
        <v>755</v>
      </c>
      <c r="AJ22" s="150"/>
      <c r="AK22" s="75">
        <f t="shared" si="9"/>
        <v>20</v>
      </c>
      <c r="AL22" s="54">
        <v>17</v>
      </c>
      <c r="AM22" s="55">
        <v>30</v>
      </c>
      <c r="AN22" s="150"/>
      <c r="AO22" s="75">
        <f t="shared" si="10"/>
        <v>20</v>
      </c>
      <c r="AP22" s="54">
        <v>10</v>
      </c>
      <c r="AQ22" s="55">
        <v>30</v>
      </c>
      <c r="AR22" s="150"/>
      <c r="AS22" s="75">
        <f t="shared" si="11"/>
        <v>20</v>
      </c>
      <c r="AT22" s="54">
        <v>22.3</v>
      </c>
      <c r="AU22" s="55">
        <v>80</v>
      </c>
      <c r="AV22" s="150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>
        <v>22.5</v>
      </c>
      <c r="G23" s="55">
        <v>210</v>
      </c>
      <c r="H23" s="150"/>
      <c r="I23" s="75">
        <f t="shared" si="2"/>
        <v>21</v>
      </c>
      <c r="J23" s="54">
        <v>37.159999999999997</v>
      </c>
      <c r="K23" s="55">
        <v>170</v>
      </c>
      <c r="L23" s="150"/>
      <c r="M23" s="75">
        <f t="shared" si="3"/>
        <v>21</v>
      </c>
      <c r="N23" s="54">
        <v>11.4</v>
      </c>
      <c r="O23" s="55">
        <v>40</v>
      </c>
      <c r="P23" s="150"/>
      <c r="Q23" s="75">
        <f t="shared" si="4"/>
        <v>21</v>
      </c>
      <c r="R23" s="54">
        <v>13.96</v>
      </c>
      <c r="S23" s="55">
        <v>140</v>
      </c>
      <c r="T23" s="150"/>
      <c r="U23" s="75">
        <f t="shared" si="5"/>
        <v>21</v>
      </c>
      <c r="V23" s="54">
        <v>31.6</v>
      </c>
      <c r="W23" s="55">
        <v>170</v>
      </c>
      <c r="X23" s="150"/>
      <c r="Y23" s="75">
        <f t="shared" si="6"/>
        <v>21</v>
      </c>
      <c r="Z23" s="54">
        <v>24.66</v>
      </c>
      <c r="AA23" s="55">
        <v>25</v>
      </c>
      <c r="AB23" s="150"/>
      <c r="AC23" s="75">
        <f t="shared" si="7"/>
        <v>21</v>
      </c>
      <c r="AD23" s="54"/>
      <c r="AE23" s="55"/>
      <c r="AF23" s="150"/>
      <c r="AG23" s="75">
        <f t="shared" si="8"/>
        <v>21</v>
      </c>
      <c r="AH23" s="54">
        <v>13.5</v>
      </c>
      <c r="AI23" s="55">
        <v>125</v>
      </c>
      <c r="AJ23" s="150"/>
      <c r="AK23" s="75">
        <f t="shared" si="9"/>
        <v>21</v>
      </c>
      <c r="AL23" s="54">
        <v>27.7</v>
      </c>
      <c r="AM23" s="55">
        <v>180</v>
      </c>
      <c r="AN23" s="150"/>
      <c r="AO23" s="75">
        <f t="shared" si="10"/>
        <v>21</v>
      </c>
      <c r="AP23" s="54">
        <v>34.659999999999997</v>
      </c>
      <c r="AQ23" s="55">
        <v>55</v>
      </c>
      <c r="AR23" s="150"/>
      <c r="AS23" s="75">
        <f t="shared" si="11"/>
        <v>21</v>
      </c>
      <c r="AT23" s="54">
        <v>10</v>
      </c>
      <c r="AU23" s="55">
        <v>20</v>
      </c>
      <c r="AV23" s="150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50"/>
      <c r="E24" s="75">
        <f t="shared" si="1"/>
        <v>22</v>
      </c>
      <c r="F24" s="54">
        <v>13.4</v>
      </c>
      <c r="G24" s="55">
        <v>285</v>
      </c>
      <c r="H24" s="150"/>
      <c r="I24" s="75">
        <f t="shared" si="2"/>
        <v>22</v>
      </c>
      <c r="J24" s="54">
        <v>29.330000000000002</v>
      </c>
      <c r="K24" s="55">
        <v>400</v>
      </c>
      <c r="L24" s="150"/>
      <c r="M24" s="75">
        <f t="shared" si="3"/>
        <v>22</v>
      </c>
      <c r="N24" s="54">
        <v>16.68</v>
      </c>
      <c r="O24" s="55">
        <v>102</v>
      </c>
      <c r="P24" s="150"/>
      <c r="Q24" s="75">
        <f t="shared" si="4"/>
        <v>22</v>
      </c>
      <c r="R24" s="54">
        <v>12.46</v>
      </c>
      <c r="S24" s="49">
        <v>351</v>
      </c>
      <c r="T24" s="150"/>
      <c r="U24" s="75">
        <f t="shared" si="5"/>
        <v>22</v>
      </c>
      <c r="V24" s="54">
        <v>27.2</v>
      </c>
      <c r="W24" s="55">
        <v>483</v>
      </c>
      <c r="X24" s="150"/>
      <c r="Y24" s="75">
        <f t="shared" si="6"/>
        <v>22</v>
      </c>
      <c r="Z24" s="54">
        <v>12.6</v>
      </c>
      <c r="AA24" s="55">
        <v>150</v>
      </c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10</v>
      </c>
      <c r="AI24" s="55">
        <v>30</v>
      </c>
      <c r="AJ24" s="150"/>
      <c r="AK24" s="75">
        <f t="shared" si="9"/>
        <v>22</v>
      </c>
      <c r="AL24" s="54">
        <v>10.5</v>
      </c>
      <c r="AM24" s="55">
        <v>30</v>
      </c>
      <c r="AN24" s="150"/>
      <c r="AO24" s="75">
        <f t="shared" si="10"/>
        <v>22</v>
      </c>
      <c r="AP24" s="54">
        <v>41.68</v>
      </c>
      <c r="AQ24" s="55">
        <v>247</v>
      </c>
      <c r="AR24" s="150"/>
      <c r="AS24" s="75">
        <f t="shared" si="11"/>
        <v>22</v>
      </c>
      <c r="AT24" s="54">
        <v>11.1</v>
      </c>
      <c r="AU24" s="55">
        <v>40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>
        <v>10.199999999999999</v>
      </c>
      <c r="G25" s="55">
        <v>20</v>
      </c>
      <c r="H25" s="150"/>
      <c r="I25" s="75">
        <f t="shared" si="2"/>
        <v>23</v>
      </c>
      <c r="J25" s="54">
        <v>10.86</v>
      </c>
      <c r="K25" s="55">
        <v>5</v>
      </c>
      <c r="L25" s="150"/>
      <c r="M25" s="75">
        <f t="shared" si="3"/>
        <v>23</v>
      </c>
      <c r="N25" s="54">
        <v>18.2</v>
      </c>
      <c r="O25" s="55">
        <v>80</v>
      </c>
      <c r="P25" s="150"/>
      <c r="Q25" s="75">
        <f t="shared" si="4"/>
        <v>23</v>
      </c>
      <c r="R25" s="54">
        <v>66.599999999999994</v>
      </c>
      <c r="S25" s="55">
        <v>130</v>
      </c>
      <c r="T25" s="150"/>
      <c r="U25" s="75">
        <f t="shared" si="5"/>
        <v>23</v>
      </c>
      <c r="V25" s="54">
        <v>45.3</v>
      </c>
      <c r="W25" s="55">
        <v>288</v>
      </c>
      <c r="X25" s="150"/>
      <c r="Y25" s="75">
        <f t="shared" si="6"/>
        <v>23</v>
      </c>
      <c r="Z25" s="54">
        <v>25.890000000000004</v>
      </c>
      <c r="AA25" s="55">
        <v>70</v>
      </c>
      <c r="AB25" s="150"/>
      <c r="AC25" s="75">
        <f t="shared" si="7"/>
        <v>23</v>
      </c>
      <c r="AD25" s="54">
        <v>15</v>
      </c>
      <c r="AE25" s="55">
        <v>55</v>
      </c>
      <c r="AF25" s="150"/>
      <c r="AG25" s="75">
        <f t="shared" si="8"/>
        <v>23</v>
      </c>
      <c r="AH25" s="54">
        <v>10</v>
      </c>
      <c r="AI25" s="55">
        <v>30</v>
      </c>
      <c r="AJ25" s="150"/>
      <c r="AK25" s="75">
        <f t="shared" si="9"/>
        <v>23</v>
      </c>
      <c r="AL25" s="54">
        <v>10.6</v>
      </c>
      <c r="AM25" s="55">
        <v>350</v>
      </c>
      <c r="AN25" s="150"/>
      <c r="AO25" s="75">
        <f t="shared" si="10"/>
        <v>23</v>
      </c>
      <c r="AP25" s="54">
        <v>10</v>
      </c>
      <c r="AQ25" s="55">
        <v>30</v>
      </c>
      <c r="AR25" s="150"/>
      <c r="AS25" s="75">
        <f t="shared" si="11"/>
        <v>23</v>
      </c>
      <c r="AT25" s="54">
        <v>10</v>
      </c>
      <c r="AU25" s="55">
        <v>3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9</v>
      </c>
      <c r="C26" s="55">
        <v>45</v>
      </c>
      <c r="D26" s="150"/>
      <c r="E26" s="75">
        <f t="shared" si="1"/>
        <v>24</v>
      </c>
      <c r="F26" s="54">
        <v>7.1</v>
      </c>
      <c r="G26" s="55">
        <v>20</v>
      </c>
      <c r="H26" s="150"/>
      <c r="I26" s="75">
        <f t="shared" si="2"/>
        <v>24</v>
      </c>
      <c r="J26" s="54">
        <v>10.86</v>
      </c>
      <c r="K26" s="55">
        <v>5</v>
      </c>
      <c r="L26" s="150"/>
      <c r="M26" s="75">
        <f t="shared" si="3"/>
        <v>24</v>
      </c>
      <c r="N26" s="54">
        <v>14.23</v>
      </c>
      <c r="O26" s="55">
        <v>157</v>
      </c>
      <c r="P26" s="150"/>
      <c r="Q26" s="75">
        <f t="shared" si="4"/>
        <v>24</v>
      </c>
      <c r="R26" s="54">
        <v>20.399999999999999</v>
      </c>
      <c r="S26" s="55">
        <v>380</v>
      </c>
      <c r="T26" s="150"/>
      <c r="U26" s="75">
        <f t="shared" si="5"/>
        <v>24</v>
      </c>
      <c r="V26" s="54">
        <v>36.799999999999997</v>
      </c>
      <c r="W26" s="55">
        <v>458</v>
      </c>
      <c r="X26" s="150"/>
      <c r="Y26" s="75">
        <f t="shared" si="6"/>
        <v>24</v>
      </c>
      <c r="Z26" s="54">
        <v>10.5</v>
      </c>
      <c r="AA26" s="55">
        <v>20</v>
      </c>
      <c r="AB26" s="150"/>
      <c r="AC26" s="75">
        <f t="shared" si="7"/>
        <v>24</v>
      </c>
      <c r="AD26" s="54">
        <v>43.96</v>
      </c>
      <c r="AE26" s="55">
        <v>429</v>
      </c>
      <c r="AF26" s="150"/>
      <c r="AG26" s="75">
        <f t="shared" si="8"/>
        <v>24</v>
      </c>
      <c r="AH26" s="54">
        <v>16.259999999999998</v>
      </c>
      <c r="AI26" s="55">
        <v>92</v>
      </c>
      <c r="AJ26" s="150"/>
      <c r="AK26" s="75">
        <f t="shared" si="9"/>
        <v>24</v>
      </c>
      <c r="AL26" s="54">
        <v>77.539999999999992</v>
      </c>
      <c r="AM26" s="55">
        <v>193</v>
      </c>
      <c r="AN26" s="150"/>
      <c r="AO26" s="75">
        <f t="shared" si="10"/>
        <v>24</v>
      </c>
      <c r="AP26" s="54">
        <v>10</v>
      </c>
      <c r="AQ26" s="55">
        <v>30</v>
      </c>
      <c r="AR26" s="150"/>
      <c r="AS26" s="75">
        <f t="shared" si="11"/>
        <v>24</v>
      </c>
      <c r="AT26" s="54">
        <v>20</v>
      </c>
      <c r="AU26" s="55">
        <v>30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16.3</v>
      </c>
      <c r="C27" s="55">
        <v>80</v>
      </c>
      <c r="D27" s="150"/>
      <c r="E27" s="75">
        <f t="shared" si="1"/>
        <v>25</v>
      </c>
      <c r="F27" s="54">
        <v>16</v>
      </c>
      <c r="G27" s="55">
        <v>96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18.309999999999999</v>
      </c>
      <c r="O27" s="55">
        <v>355</v>
      </c>
      <c r="P27" s="150"/>
      <c r="Q27" s="75">
        <f t="shared" si="4"/>
        <v>25</v>
      </c>
      <c r="R27" s="54">
        <v>42</v>
      </c>
      <c r="S27" s="55">
        <v>435</v>
      </c>
      <c r="T27" s="150"/>
      <c r="U27" s="75">
        <f t="shared" si="5"/>
        <v>25</v>
      </c>
      <c r="V27" s="54">
        <v>36.4</v>
      </c>
      <c r="W27" s="55">
        <v>405</v>
      </c>
      <c r="X27" s="150"/>
      <c r="Y27" s="75">
        <f t="shared" si="6"/>
        <v>25</v>
      </c>
      <c r="Z27" s="54">
        <v>51.75</v>
      </c>
      <c r="AA27" s="55">
        <v>328</v>
      </c>
      <c r="AB27" s="150"/>
      <c r="AC27" s="75">
        <f t="shared" si="7"/>
        <v>25</v>
      </c>
      <c r="AD27" s="54">
        <v>22.83</v>
      </c>
      <c r="AE27" s="55">
        <v>172</v>
      </c>
      <c r="AF27" s="150"/>
      <c r="AG27" s="75">
        <f t="shared" si="8"/>
        <v>25</v>
      </c>
      <c r="AH27" s="54">
        <v>10</v>
      </c>
      <c r="AI27" s="55">
        <v>340</v>
      </c>
      <c r="AJ27" s="150"/>
      <c r="AK27" s="75">
        <f t="shared" si="9"/>
        <v>25</v>
      </c>
      <c r="AL27" s="54">
        <v>52.69</v>
      </c>
      <c r="AM27" s="55">
        <v>280</v>
      </c>
      <c r="AN27" s="150"/>
      <c r="AO27" s="75">
        <f t="shared" si="10"/>
        <v>25</v>
      </c>
      <c r="AP27" s="54">
        <v>11.5</v>
      </c>
      <c r="AQ27" s="55">
        <v>30</v>
      </c>
      <c r="AR27" s="150"/>
      <c r="AS27" s="75">
        <f t="shared" si="11"/>
        <v>25</v>
      </c>
      <c r="AT27" s="54">
        <v>10.7</v>
      </c>
      <c r="AU27" s="55">
        <v>215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10</v>
      </c>
      <c r="C28" s="55">
        <v>20</v>
      </c>
      <c r="D28" s="150"/>
      <c r="E28" s="75">
        <f t="shared" si="1"/>
        <v>26</v>
      </c>
      <c r="F28" s="54">
        <v>12.35</v>
      </c>
      <c r="G28" s="55">
        <v>32</v>
      </c>
      <c r="H28" s="150"/>
      <c r="I28" s="75">
        <f t="shared" si="2"/>
        <v>26</v>
      </c>
      <c r="J28" s="54">
        <v>11.399999999999999</v>
      </c>
      <c r="K28" s="55">
        <v>40</v>
      </c>
      <c r="L28" s="150"/>
      <c r="M28" s="75">
        <f t="shared" si="3"/>
        <v>26</v>
      </c>
      <c r="N28" s="54">
        <v>38.6</v>
      </c>
      <c r="O28" s="55">
        <v>750</v>
      </c>
      <c r="P28" s="150"/>
      <c r="Q28" s="75">
        <f t="shared" si="4"/>
        <v>26</v>
      </c>
      <c r="R28" s="54">
        <v>22.83</v>
      </c>
      <c r="S28" s="55">
        <v>172</v>
      </c>
      <c r="T28" s="150"/>
      <c r="U28" s="75">
        <f t="shared" si="5"/>
        <v>26</v>
      </c>
      <c r="V28" s="54">
        <v>19.5</v>
      </c>
      <c r="W28" s="55">
        <v>450</v>
      </c>
      <c r="X28" s="150"/>
      <c r="Y28" s="75">
        <f t="shared" si="6"/>
        <v>26</v>
      </c>
      <c r="Z28" s="54">
        <v>31.7</v>
      </c>
      <c r="AA28" s="55">
        <v>150</v>
      </c>
      <c r="AB28" s="150"/>
      <c r="AC28" s="75">
        <f t="shared" si="7"/>
        <v>26</v>
      </c>
      <c r="AD28" s="54">
        <v>12</v>
      </c>
      <c r="AE28" s="55">
        <v>25</v>
      </c>
      <c r="AF28" s="150"/>
      <c r="AG28" s="75">
        <f t="shared" si="8"/>
        <v>26</v>
      </c>
      <c r="AH28" s="54">
        <v>53.419999999999987</v>
      </c>
      <c r="AI28" s="55">
        <v>380</v>
      </c>
      <c r="AJ28" s="150"/>
      <c r="AK28" s="75">
        <f t="shared" si="9"/>
        <v>26</v>
      </c>
      <c r="AL28" s="54">
        <v>10.26</v>
      </c>
      <c r="AM28" s="55">
        <v>72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>
        <v>44.61</v>
      </c>
      <c r="AU28" s="55">
        <v>185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7</v>
      </c>
      <c r="C29" s="55">
        <v>50</v>
      </c>
      <c r="D29" s="150"/>
      <c r="E29" s="75">
        <f t="shared" si="1"/>
        <v>27</v>
      </c>
      <c r="F29" s="54">
        <v>11.8</v>
      </c>
      <c r="G29" s="55">
        <v>40</v>
      </c>
      <c r="H29" s="150"/>
      <c r="I29" s="75">
        <f t="shared" si="2"/>
        <v>27</v>
      </c>
      <c r="J29" s="54">
        <v>19.2</v>
      </c>
      <c r="K29" s="55">
        <v>10</v>
      </c>
      <c r="L29" s="150"/>
      <c r="M29" s="75">
        <f t="shared" si="3"/>
        <v>27</v>
      </c>
      <c r="N29" s="54">
        <v>11.8</v>
      </c>
      <c r="O29" s="55">
        <v>20</v>
      </c>
      <c r="P29" s="150"/>
      <c r="Q29" s="75">
        <f t="shared" si="4"/>
        <v>27</v>
      </c>
      <c r="R29" s="54">
        <v>15.3</v>
      </c>
      <c r="S29" s="55">
        <v>40</v>
      </c>
      <c r="T29" s="150"/>
      <c r="U29" s="75">
        <f t="shared" si="5"/>
        <v>27</v>
      </c>
      <c r="V29" s="54">
        <v>35</v>
      </c>
      <c r="W29" s="55">
        <v>400</v>
      </c>
      <c r="X29" s="150"/>
      <c r="Y29" s="75">
        <f t="shared" si="6"/>
        <v>27</v>
      </c>
      <c r="Z29" s="54">
        <v>19.150000000000002</v>
      </c>
      <c r="AA29" s="55">
        <v>52</v>
      </c>
      <c r="AB29" s="150"/>
      <c r="AC29" s="75">
        <f t="shared" si="7"/>
        <v>27</v>
      </c>
      <c r="AD29" s="54">
        <v>10.5</v>
      </c>
      <c r="AE29" s="55">
        <v>30</v>
      </c>
      <c r="AF29" s="150"/>
      <c r="AG29" s="75">
        <f t="shared" si="8"/>
        <v>27</v>
      </c>
      <c r="AH29" s="54">
        <v>63.83</v>
      </c>
      <c r="AI29" s="55">
        <v>223</v>
      </c>
      <c r="AJ29" s="150"/>
      <c r="AK29" s="75">
        <f t="shared" si="9"/>
        <v>27</v>
      </c>
      <c r="AL29" s="54">
        <v>8.26</v>
      </c>
      <c r="AM29" s="55">
        <v>70</v>
      </c>
      <c r="AN29" s="150"/>
      <c r="AO29" s="75">
        <f t="shared" si="10"/>
        <v>27</v>
      </c>
      <c r="AP29" s="54">
        <v>24.89</v>
      </c>
      <c r="AQ29" s="55">
        <v>25</v>
      </c>
      <c r="AR29" s="150"/>
      <c r="AS29" s="75">
        <f t="shared" si="11"/>
        <v>27</v>
      </c>
      <c r="AT29" s="54">
        <v>50</v>
      </c>
      <c r="AU29" s="55">
        <v>45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10</v>
      </c>
      <c r="C30" s="55">
        <v>20</v>
      </c>
      <c r="D30" s="150"/>
      <c r="E30" s="75">
        <f t="shared" si="1"/>
        <v>28</v>
      </c>
      <c r="F30" s="54">
        <v>26.5</v>
      </c>
      <c r="G30" s="55">
        <v>130</v>
      </c>
      <c r="H30" s="150"/>
      <c r="I30" s="75">
        <f t="shared" si="2"/>
        <v>28</v>
      </c>
      <c r="J30" s="54">
        <v>38.700000000000003</v>
      </c>
      <c r="K30" s="55">
        <v>1018</v>
      </c>
      <c r="L30" s="150"/>
      <c r="M30" s="75">
        <f t="shared" si="3"/>
        <v>28</v>
      </c>
      <c r="N30" s="54">
        <v>19.2</v>
      </c>
      <c r="O30" s="55">
        <v>30</v>
      </c>
      <c r="P30" s="150"/>
      <c r="Q30" s="75">
        <f t="shared" si="4"/>
        <v>28</v>
      </c>
      <c r="R30" s="54">
        <v>32.159999999999997</v>
      </c>
      <c r="S30" s="55">
        <v>25</v>
      </c>
      <c r="T30" s="150"/>
      <c r="U30" s="75">
        <f t="shared" si="5"/>
        <v>28</v>
      </c>
      <c r="V30" s="54">
        <v>111.31</v>
      </c>
      <c r="W30" s="55">
        <v>1460</v>
      </c>
      <c r="X30" s="150"/>
      <c r="Y30" s="75">
        <f t="shared" si="6"/>
        <v>28</v>
      </c>
      <c r="Z30" s="54">
        <v>17.149999999999999</v>
      </c>
      <c r="AA30" s="55">
        <v>57</v>
      </c>
      <c r="AB30" s="150"/>
      <c r="AC30" s="75">
        <f t="shared" si="7"/>
        <v>28</v>
      </c>
      <c r="AD30" s="54"/>
      <c r="AE30" s="55"/>
      <c r="AF30" s="150"/>
      <c r="AG30" s="75">
        <f t="shared" si="8"/>
        <v>28</v>
      </c>
      <c r="AH30" s="54">
        <v>10</v>
      </c>
      <c r="AI30" s="55">
        <v>30</v>
      </c>
      <c r="AJ30" s="150"/>
      <c r="AK30" s="75">
        <f t="shared" si="9"/>
        <v>28</v>
      </c>
      <c r="AL30" s="54">
        <v>19.2</v>
      </c>
      <c r="AM30" s="55">
        <v>30</v>
      </c>
      <c r="AN30" s="150"/>
      <c r="AO30" s="75">
        <f t="shared" si="10"/>
        <v>28</v>
      </c>
      <c r="AP30" s="54">
        <v>41.599999999999994</v>
      </c>
      <c r="AQ30" s="55">
        <v>53</v>
      </c>
      <c r="AR30" s="150"/>
      <c r="AS30" s="75">
        <f t="shared" si="11"/>
        <v>28</v>
      </c>
      <c r="AT30" s="54">
        <v>11.1</v>
      </c>
      <c r="AU30" s="55">
        <v>40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15.3</v>
      </c>
      <c r="C31" s="55">
        <v>50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/>
      <c r="M31" s="75">
        <f t="shared" si="3"/>
        <v>29</v>
      </c>
      <c r="N31" s="54">
        <v>20.2</v>
      </c>
      <c r="O31" s="55">
        <v>30</v>
      </c>
      <c r="P31" s="150"/>
      <c r="Q31" s="75">
        <f t="shared" si="4"/>
        <v>29</v>
      </c>
      <c r="R31" s="54">
        <v>10</v>
      </c>
      <c r="S31" s="55">
        <v>340</v>
      </c>
      <c r="T31" s="150"/>
      <c r="U31" s="75">
        <f t="shared" si="5"/>
        <v>29</v>
      </c>
      <c r="V31" s="54">
        <v>10.66</v>
      </c>
      <c r="W31" s="55">
        <v>90</v>
      </c>
      <c r="X31" s="150"/>
      <c r="Y31" s="75">
        <f t="shared" si="6"/>
        <v>29</v>
      </c>
      <c r="Z31" s="54">
        <v>21.1</v>
      </c>
      <c r="AA31" s="55">
        <v>57</v>
      </c>
      <c r="AB31" s="150"/>
      <c r="AC31" s="75">
        <f t="shared" si="7"/>
        <v>29</v>
      </c>
      <c r="AD31" s="54">
        <v>41.89</v>
      </c>
      <c r="AE31" s="55">
        <v>655</v>
      </c>
      <c r="AF31" s="150"/>
      <c r="AG31" s="75">
        <f t="shared" si="8"/>
        <v>29</v>
      </c>
      <c r="AH31" s="54">
        <v>10.66</v>
      </c>
      <c r="AI31" s="55">
        <v>30</v>
      </c>
      <c r="AJ31" s="150"/>
      <c r="AK31" s="75">
        <f t="shared" si="9"/>
        <v>29</v>
      </c>
      <c r="AL31" s="54">
        <v>11</v>
      </c>
      <c r="AM31" s="55">
        <v>50</v>
      </c>
      <c r="AN31" s="150"/>
      <c r="AO31" s="75">
        <f t="shared" si="10"/>
        <v>29</v>
      </c>
      <c r="AP31" s="54"/>
      <c r="AQ31" s="55"/>
      <c r="AR31" s="150">
        <v>2.2916666666666669E-2</v>
      </c>
      <c r="AS31" s="75">
        <f t="shared" si="11"/>
        <v>29</v>
      </c>
      <c r="AT31" s="54">
        <v>12.5</v>
      </c>
      <c r="AU31" s="55">
        <v>30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8.6999999999999993</v>
      </c>
      <c r="C32" s="55">
        <v>220</v>
      </c>
      <c r="D32" s="150"/>
      <c r="E32" s="75"/>
      <c r="F32" s="54"/>
      <c r="G32" s="55"/>
      <c r="H32" s="150"/>
      <c r="I32" s="75">
        <f t="shared" si="2"/>
        <v>30</v>
      </c>
      <c r="J32" s="54">
        <v>10.199999999999999</v>
      </c>
      <c r="K32" s="55">
        <v>20</v>
      </c>
      <c r="L32" s="150"/>
      <c r="M32" s="75">
        <f t="shared" si="3"/>
        <v>30</v>
      </c>
      <c r="N32" s="54">
        <v>21.6</v>
      </c>
      <c r="O32" s="55">
        <v>60</v>
      </c>
      <c r="P32" s="150"/>
      <c r="Q32" s="75">
        <f t="shared" si="4"/>
        <v>30</v>
      </c>
      <c r="R32" s="54">
        <v>27</v>
      </c>
      <c r="S32" s="55">
        <v>115</v>
      </c>
      <c r="T32" s="150"/>
      <c r="U32" s="75">
        <f t="shared" si="5"/>
        <v>30</v>
      </c>
      <c r="V32" s="54">
        <v>11</v>
      </c>
      <c r="W32" s="55">
        <v>20</v>
      </c>
      <c r="X32" s="150"/>
      <c r="Y32" s="75">
        <f t="shared" si="6"/>
        <v>30</v>
      </c>
      <c r="Z32" s="54">
        <v>24.66</v>
      </c>
      <c r="AA32" s="55">
        <v>25</v>
      </c>
      <c r="AB32" s="150"/>
      <c r="AC32" s="75">
        <f t="shared" si="7"/>
        <v>30</v>
      </c>
      <c r="AD32" s="54">
        <v>86.460000000000008</v>
      </c>
      <c r="AE32" s="55">
        <v>1311</v>
      </c>
      <c r="AF32" s="150"/>
      <c r="AG32" s="75">
        <f t="shared" si="8"/>
        <v>30</v>
      </c>
      <c r="AH32" s="54">
        <v>15</v>
      </c>
      <c r="AI32" s="55">
        <v>50</v>
      </c>
      <c r="AJ32" s="150"/>
      <c r="AK32" s="75">
        <f t="shared" si="9"/>
        <v>30</v>
      </c>
      <c r="AL32" s="54">
        <v>10.6</v>
      </c>
      <c r="AM32" s="55">
        <v>350</v>
      </c>
      <c r="AN32" s="150"/>
      <c r="AO32" s="75">
        <f t="shared" si="10"/>
        <v>30</v>
      </c>
      <c r="AP32" s="54">
        <v>10</v>
      </c>
      <c r="AQ32" s="55">
        <v>5</v>
      </c>
      <c r="AR32" s="150"/>
      <c r="AS32" s="75">
        <f t="shared" si="11"/>
        <v>30</v>
      </c>
      <c r="AT32" s="54">
        <v>24.66</v>
      </c>
      <c r="AU32" s="55">
        <v>25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31.4</v>
      </c>
      <c r="C33" s="63">
        <v>120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108.5</v>
      </c>
      <c r="S33" s="63">
        <v>1347</v>
      </c>
      <c r="T33" s="151"/>
      <c r="U33" s="76"/>
      <c r="V33" s="62"/>
      <c r="W33" s="63"/>
      <c r="X33" s="151"/>
      <c r="Y33" s="76">
        <f t="shared" si="6"/>
        <v>31</v>
      </c>
      <c r="Z33" s="62">
        <v>29.81</v>
      </c>
      <c r="AA33" s="63">
        <v>187</v>
      </c>
      <c r="AB33" s="151"/>
      <c r="AC33" s="76">
        <f t="shared" si="7"/>
        <v>31</v>
      </c>
      <c r="AD33" s="62">
        <v>10</v>
      </c>
      <c r="AE33" s="63">
        <v>40</v>
      </c>
      <c r="AF33" s="151"/>
      <c r="AG33" s="76"/>
      <c r="AH33" s="62"/>
      <c r="AI33" s="63"/>
      <c r="AJ33" s="151"/>
      <c r="AK33" s="76">
        <f t="shared" si="9"/>
        <v>31</v>
      </c>
      <c r="AL33" s="62">
        <v>27.46</v>
      </c>
      <c r="AM33" s="63">
        <v>100</v>
      </c>
      <c r="AN33" s="151"/>
      <c r="AO33" s="76"/>
      <c r="AP33" s="62"/>
      <c r="AQ33" s="63"/>
      <c r="AR33" s="151"/>
      <c r="AS33" s="76">
        <f t="shared" si="11"/>
        <v>31</v>
      </c>
      <c r="AT33" s="62">
        <v>20</v>
      </c>
      <c r="AU33" s="63">
        <v>60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1.25" x14ac:dyDescent="0.2">
      <c r="A35" s="46" t="s">
        <v>93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1.25" x14ac:dyDescent="0.2">
      <c r="A36" s="49" t="s">
        <v>149</v>
      </c>
      <c r="B36" s="47">
        <f>MAX(B3:B33)</f>
        <v>31.4</v>
      </c>
      <c r="C36" s="55">
        <f>MAX(C3:C33)</f>
        <v>830</v>
      </c>
      <c r="D36" s="152">
        <f>MAX(D3:D33)</f>
        <v>0</v>
      </c>
      <c r="E36" s="67"/>
      <c r="F36" s="47">
        <f>MAX(F3:F33)</f>
        <v>26.5</v>
      </c>
      <c r="G36" s="55">
        <f>MAX(G3:G33)</f>
        <v>348</v>
      </c>
      <c r="H36" s="152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52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52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52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52">
        <f>MAX(X3:X33)</f>
        <v>0</v>
      </c>
      <c r="Y36" s="67"/>
      <c r="Z36" s="47">
        <f>MAX(Z3:Z33)</f>
        <v>70.62</v>
      </c>
      <c r="AA36" s="55">
        <f>MAX(AA3:AA33)</f>
        <v>948</v>
      </c>
      <c r="AB36" s="152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52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52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52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52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52">
        <f>MAX(AV3:AV33)</f>
        <v>0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16.621304347826086</v>
      </c>
      <c r="C37" s="55">
        <f>IFERROR(AVERAGE(C3:C33),0)</f>
        <v>201</v>
      </c>
      <c r="D37" s="152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52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52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52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52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52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52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52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52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52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52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52">
        <f>IFERROR(AVERAGE(AV3:AV33),0)</f>
        <v>0</v>
      </c>
      <c r="AW37" s="67"/>
    </row>
    <row r="38" spans="1:49" s="49" customFormat="1" ht="11.25" x14ac:dyDescent="0.2">
      <c r="A38" s="49" t="s">
        <v>236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1252.3699999999999</v>
      </c>
      <c r="K39" s="51">
        <f t="shared" ref="K39:L39" si="12">SUM(C34,G34,K34)</f>
        <v>11731</v>
      </c>
      <c r="L39" s="170">
        <f t="shared" si="12"/>
        <v>16</v>
      </c>
      <c r="M39" s="168"/>
      <c r="P39" s="169"/>
      <c r="Q39" s="168"/>
      <c r="T39" s="169"/>
      <c r="U39" s="168"/>
      <c r="V39" s="50">
        <f>SUM(N34,R34,V34)</f>
        <v>2728.5</v>
      </c>
      <c r="W39" s="51">
        <f>SUM(O34,S34,W34)</f>
        <v>24112</v>
      </c>
      <c r="X39" s="170">
        <f>SUM(P34,T34,X34)</f>
        <v>51.6</v>
      </c>
      <c r="Y39" s="168"/>
      <c r="AB39" s="169"/>
      <c r="AC39" s="168"/>
      <c r="AF39" s="169"/>
      <c r="AG39" s="168"/>
      <c r="AH39" s="86">
        <f>SUM(Z34,AD34,AH34)</f>
        <v>1991.1299999999999</v>
      </c>
      <c r="AI39" s="51">
        <f>SUM(AA34,AE34,AI34)</f>
        <v>15049</v>
      </c>
      <c r="AJ39" s="170">
        <f>SUM(AB34,AF34,AJ34)</f>
        <v>0</v>
      </c>
      <c r="AK39" s="168"/>
      <c r="AN39" s="169"/>
      <c r="AO39" s="168"/>
      <c r="AR39" s="169"/>
      <c r="AS39" s="168"/>
      <c r="AT39" s="50">
        <f>SUM(AL34,AP34,AT34)</f>
        <v>1830.9900000000002</v>
      </c>
      <c r="AU39" s="51">
        <f>SUM(AM34,AQ34,AU34)</f>
        <v>11858</v>
      </c>
      <c r="AV39" s="170">
        <f>SUM(AN34,AR34,AV34)</f>
        <v>13.200000000000001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52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52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52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52">
        <f>IFERROR(AVERAGE(AN37,AR37,AV37),0)</f>
        <v>7.6388888888888895E-3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1.25" x14ac:dyDescent="0.2">
      <c r="A42" s="52" t="s">
        <v>214</v>
      </c>
      <c r="B42" s="86">
        <f>T1</f>
        <v>23.968190715034449</v>
      </c>
      <c r="C42" s="87">
        <f>AB1</f>
        <v>194.46599282316905</v>
      </c>
      <c r="D42" s="88"/>
      <c r="E42" s="176" t="s">
        <v>399</v>
      </c>
      <c r="F42" s="177">
        <f>SUM(J23:J33,N3:N33,R3:R33,V3:V33,Z3:Z33,AD3:AD33,AH3:AH23)</f>
        <v>4688.1700000000019</v>
      </c>
      <c r="G42" s="178">
        <f>SUM(K23:K33,O3:O32,S3:S33,W3:W32,AA3:AA33,AE3:AE33,AI3:AI23)</f>
        <v>39624</v>
      </c>
      <c r="H42" s="179"/>
      <c r="I42" s="179"/>
      <c r="J42" s="180">
        <f>IFERROR(F42/(F42+F43),0)</f>
        <v>0.60081712266708054</v>
      </c>
      <c r="K42" s="180">
        <f>IFERROR(G42/(G42+G43),0)</f>
        <v>0.63145816733067728</v>
      </c>
      <c r="L42" s="179"/>
      <c r="M42" s="259" t="s">
        <v>600</v>
      </c>
      <c r="N42" s="257">
        <v>67</v>
      </c>
      <c r="Y42" s="144"/>
      <c r="AK42" s="211" t="s">
        <v>478</v>
      </c>
      <c r="AL42" s="47">
        <f>MAX(B34,F34,J34,N34,R34,V34,Z34,AD34,AH34,AL34,AP34,AT34)</f>
        <v>1042.1100000000001</v>
      </c>
      <c r="AM42" s="212">
        <f>MAX(C34,G34,K34,O34,S34,W34,AA34,AE34,AI34,AM34,AQ34,AU34)</f>
        <v>8968</v>
      </c>
      <c r="AN42" s="49" t="s">
        <v>346</v>
      </c>
      <c r="AO42" s="210" t="s">
        <v>344</v>
      </c>
      <c r="AP42" s="54">
        <f>R1-'14'!R1</f>
        <v>-170.15000000000009</v>
      </c>
      <c r="AQ42" s="78">
        <f>AF1-'14'!AF1</f>
        <v>-2347</v>
      </c>
      <c r="AR42" s="49" t="s">
        <v>345</v>
      </c>
      <c r="AS42" s="209" t="s">
        <v>344</v>
      </c>
      <c r="AT42" s="54">
        <f>I1-'14'!I1</f>
        <v>-24.47999999999999</v>
      </c>
      <c r="AU42" s="78">
        <f>AN1-'14'!AN1</f>
        <v>-17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21.378054794520544</v>
      </c>
      <c r="C43" s="87">
        <f>AU1/365</f>
        <v>171.91780821917808</v>
      </c>
      <c r="D43" s="88"/>
      <c r="E43" s="172" t="s">
        <v>400</v>
      </c>
      <c r="F43" s="173">
        <f>E1-F42</f>
        <v>3114.819999999997</v>
      </c>
      <c r="G43" s="174">
        <f>AU1-G42</f>
        <v>23126</v>
      </c>
      <c r="H43" s="175"/>
      <c r="I43" s="175"/>
      <c r="J43" s="181">
        <f>IFERROR(F43/(F42+F43),0)</f>
        <v>0.39918287733291946</v>
      </c>
      <c r="K43" s="181">
        <f>IFERROR(G43/(G42+G43),0)</f>
        <v>0.36854183266932272</v>
      </c>
      <c r="L43" s="175"/>
      <c r="M43" s="65" t="s">
        <v>601</v>
      </c>
      <c r="N43" s="258">
        <v>4</v>
      </c>
      <c r="Y43" s="67"/>
      <c r="AK43" s="213" t="s">
        <v>481</v>
      </c>
      <c r="AL43" s="188">
        <f>IF($B$1&lt;&gt;0,$AV$35/$B1,0)</f>
        <v>1.0248877760569474E-2</v>
      </c>
      <c r="AO43" s="209" t="s">
        <v>344</v>
      </c>
      <c r="AP43" s="54">
        <f>AV35-'14'!AV35</f>
        <v>-254.8</v>
      </c>
      <c r="AQ43" s="188">
        <f>AL43-'14'!AL43</f>
        <v>-2.9469495774401291E-2</v>
      </c>
      <c r="AR43" s="49" t="s">
        <v>204</v>
      </c>
      <c r="AS43" s="209" t="s">
        <v>344</v>
      </c>
      <c r="AT43" s="54">
        <f>B1-'14'!B1</f>
        <v>-565.69999999999891</v>
      </c>
      <c r="AU43" s="78">
        <f>AU1-'14'!AU1</f>
        <v>-25363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75" priority="95" operator="equal">
      <formula>$R$1</formula>
    </cfRule>
    <cfRule type="cellIs" dxfId="374" priority="96" operator="equal">
      <formula>$M$1</formula>
    </cfRule>
  </conditionalFormatting>
  <conditionalFormatting sqref="C34 G34 K34 O34 S34 W34 AA34 AE34 AI34 AM34 AQ34 AU34">
    <cfRule type="cellIs" dxfId="373" priority="94" operator="equal">
      <formula>$AF$1</formula>
    </cfRule>
    <cfRule type="cellIs" dxfId="372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71" priority="91" operator="lessThan">
      <formula>0</formula>
    </cfRule>
    <cfRule type="cellIs" dxfId="370" priority="92" operator="greaterThanOrEqual">
      <formula>0</formula>
    </cfRule>
  </conditionalFormatting>
  <conditionalFormatting sqref="C38 AU42:AU43 AQ42 G38 K38 O38 S38 W38 AA38 AE38 AI38 AM38 AQ38 AU38">
    <cfRule type="cellIs" dxfId="369" priority="89" operator="lessThan">
      <formula>0</formula>
    </cfRule>
    <cfRule type="cellIs" dxfId="368" priority="90" operator="greaterThanOrEqual">
      <formula>0</formula>
    </cfRule>
  </conditionalFormatting>
  <conditionalFormatting sqref="D38">
    <cfRule type="cellIs" dxfId="367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66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65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64" priority="77" stopIfTrue="1" operator="between">
      <formula>0</formula>
      <formula>0.0416550925925926</formula>
    </cfRule>
    <cfRule type="cellIs" dxfId="363" priority="78" stopIfTrue="1" operator="between">
      <formula>0.0416666666666667</formula>
      <formula>0.0833217592592593</formula>
    </cfRule>
    <cfRule type="cellIs" dxfId="362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61" priority="65" operator="equal">
      <formula>MAX($D$36,$H$36,$L$36,$P$36,$T$36,$X$36,$AB$36,$AF$36,$AJ$36,$AN$36,$AR$36,$AV$36)</formula>
    </cfRule>
  </conditionalFormatting>
  <conditionalFormatting sqref="AP43">
    <cfRule type="cellIs" dxfId="360" priority="63" operator="lessThan">
      <formula>0</formula>
    </cfRule>
    <cfRule type="cellIs" dxfId="359" priority="64" operator="greaterThanOrEqual">
      <formula>0</formula>
    </cfRule>
  </conditionalFormatting>
  <conditionalFormatting sqref="B3:B33 F3:F33 J3:J33 N3:N33 R3:R33 V3:V33 Z3:Z33 AT3:AT33 AH3:AH33 AL3:AL33 AP3:AP33 AD3:AD33">
    <cfRule type="cellIs" dxfId="358" priority="86" stopIfTrue="1" operator="lessThan">
      <formula>50</formula>
    </cfRule>
    <cfRule type="cellIs" dxfId="357" priority="87" stopIfTrue="1" operator="greaterThanOrEqual">
      <formula>100</formula>
    </cfRule>
    <cfRule type="cellIs" dxfId="356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55" priority="83" stopIfTrue="1" operator="between">
      <formula>0</formula>
      <formula>749.99</formula>
    </cfRule>
    <cfRule type="cellIs" dxfId="354" priority="84" stopIfTrue="1" operator="greaterThanOrEqual">
      <formula>1500</formula>
    </cfRule>
    <cfRule type="cellIs" dxfId="353" priority="85" operator="greaterThanOrEqual">
      <formula>750</formula>
    </cfRule>
  </conditionalFormatting>
  <conditionalFormatting sqref="AQ43">
    <cfRule type="cellIs" dxfId="352" priority="61" stopIfTrue="1" operator="lessThan">
      <formula>0</formula>
    </cfRule>
    <cfRule type="cellIs" dxfId="351" priority="62" operator="greaterThanOrEqual">
      <formula>0</formula>
    </cfRule>
  </conditionalFormatting>
  <conditionalFormatting sqref="AL42">
    <cfRule type="cellIs" dxfId="350" priority="56" stopIfTrue="1" operator="lessThan">
      <formula>1000</formula>
    </cfRule>
    <cfRule type="cellIs" dxfId="349" priority="57" stopIfTrue="1" operator="lessThan">
      <formula>1100</formula>
    </cfRule>
    <cfRule type="cellIs" dxfId="348" priority="58" stopIfTrue="1" operator="lessThan">
      <formula>9999</formula>
    </cfRule>
  </conditionalFormatting>
  <conditionalFormatting sqref="AM42">
    <cfRule type="cellIs" dxfId="347" priority="53" stopIfTrue="1" operator="lessThan">
      <formula>10000</formula>
    </cfRule>
    <cfRule type="cellIs" dxfId="346" priority="54" stopIfTrue="1" operator="lessThan">
      <formula>13000</formula>
    </cfRule>
    <cfRule type="cellIs" dxfId="345" priority="55" stopIfTrue="1" operator="lessThan">
      <formula>99999</formula>
    </cfRule>
  </conditionalFormatting>
  <conditionalFormatting sqref="AL43">
    <cfRule type="cellIs" dxfId="344" priority="50" stopIfTrue="1" operator="lessThan">
      <formula>0.05</formula>
    </cfRule>
    <cfRule type="cellIs" dxfId="343" priority="51" stopIfTrue="1" operator="lessThan">
      <formula>0.1</formula>
    </cfRule>
    <cfRule type="cellIs" dxfId="342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8048.1349999999993</v>
      </c>
      <c r="C1" s="382"/>
      <c r="D1" s="83" t="s">
        <v>238</v>
      </c>
      <c r="E1" s="383">
        <f>AT35</f>
        <v>7595.3349999999991</v>
      </c>
      <c r="F1" s="383"/>
      <c r="G1" s="384" t="s">
        <v>152</v>
      </c>
      <c r="H1" s="384"/>
      <c r="I1" s="380">
        <f>MAX(B36,F36,J36,N36,R36,V36,Z36,AD36,AH36,AL36,AP36,AT36)</f>
        <v>141.72</v>
      </c>
      <c r="J1" s="380"/>
      <c r="K1" s="385" t="s">
        <v>159</v>
      </c>
      <c r="L1" s="385"/>
      <c r="M1" s="386">
        <f>MAX(B34,F34,J34,N34,R34,V34,Z34,AD34,AH34,AL34,AP34,AT34)</f>
        <v>913.65999999999974</v>
      </c>
      <c r="N1" s="386"/>
      <c r="O1" s="379" t="s">
        <v>190</v>
      </c>
      <c r="P1" s="379"/>
      <c r="Q1" s="379"/>
      <c r="R1" s="149">
        <f>MIN(B34,F34,J34,N34,R34,V34,Z34,AD34,AH34,AL34,AP34,AT34)</f>
        <v>370.08</v>
      </c>
      <c r="S1" s="84" t="s">
        <v>207</v>
      </c>
      <c r="T1" s="372">
        <f>IFERROR(AVERAGE(B37,F37,J37,N37,R37,V37,Z37,AD37,AH37,AL37,AP37,AT37),0)</f>
        <v>23.070445414061023</v>
      </c>
      <c r="U1" s="372"/>
      <c r="V1" s="393" t="s">
        <v>803</v>
      </c>
      <c r="W1" s="393"/>
      <c r="X1" s="393"/>
      <c r="Y1" s="393"/>
      <c r="Z1" s="393"/>
      <c r="AA1" s="85" t="s">
        <v>207</v>
      </c>
      <c r="AB1" s="381">
        <f>IFERROR(AVERAGE(C37,G37,K37,O37,S37,W37,AA37,AE37,AI37,AM37,AQ37,AU37),0)</f>
        <v>175.17562884408821</v>
      </c>
      <c r="AC1" s="381"/>
      <c r="AD1" s="371" t="s">
        <v>190</v>
      </c>
      <c r="AE1" s="371"/>
      <c r="AF1" s="374">
        <f>MIN(C34,G34,K34,O34,S34,W34,AA34,AE34,AI34,AM34,AQ34,AU34)</f>
        <v>1161</v>
      </c>
      <c r="AG1" s="374"/>
      <c r="AH1" s="375" t="s">
        <v>159</v>
      </c>
      <c r="AI1" s="375"/>
      <c r="AJ1" s="376">
        <f>MAX(C34,G34,K34,O34,S34,W34,AA34,AE34,AI34,AM34,AQ34,AU34)</f>
        <v>11863</v>
      </c>
      <c r="AK1" s="376"/>
      <c r="AL1" s="378" t="s">
        <v>153</v>
      </c>
      <c r="AM1" s="378"/>
      <c r="AN1" s="377">
        <f>MAX(C36,G36,K36,O36,S36,W36,AA36,AE36,AI36,AM36,AQ36,AU36)</f>
        <v>2025</v>
      </c>
      <c r="AO1" s="377"/>
      <c r="AP1" s="367" t="s">
        <v>361</v>
      </c>
      <c r="AQ1" s="367"/>
      <c r="AR1" s="368">
        <f>MAX(D36,H36,L36,P36,T36,X36,AB36,AF36,AJ36,AN36,AR36,AV36)</f>
        <v>4.6527777777777779E-2</v>
      </c>
      <c r="AS1" s="368"/>
      <c r="AT1" s="81" t="s">
        <v>2</v>
      </c>
      <c r="AU1" s="369">
        <f>AU35</f>
        <v>58400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3.1944444444444449E-2</v>
      </c>
      <c r="E3" s="75">
        <v>1</v>
      </c>
      <c r="F3" s="54">
        <v>26.389999999999997</v>
      </c>
      <c r="G3" s="55">
        <v>155</v>
      </c>
      <c r="H3" s="150"/>
      <c r="I3" s="75">
        <v>1</v>
      </c>
      <c r="J3" s="54">
        <v>11.47</v>
      </c>
      <c r="K3" s="55">
        <v>45</v>
      </c>
      <c r="L3" s="150"/>
      <c r="M3" s="75">
        <v>1</v>
      </c>
      <c r="N3" s="54">
        <v>10</v>
      </c>
      <c r="O3" s="55">
        <v>340</v>
      </c>
      <c r="P3" s="150"/>
      <c r="Q3" s="75">
        <v>1</v>
      </c>
      <c r="R3" s="54">
        <v>37.299999999999997</v>
      </c>
      <c r="S3" s="55">
        <v>190</v>
      </c>
      <c r="T3" s="150"/>
      <c r="U3" s="75">
        <v>1</v>
      </c>
      <c r="V3" s="54">
        <v>20.2</v>
      </c>
      <c r="W3" s="55">
        <v>30</v>
      </c>
      <c r="X3" s="150"/>
      <c r="Y3" s="75">
        <v>1</v>
      </c>
      <c r="Z3" s="54">
        <v>20</v>
      </c>
      <c r="AA3" s="55">
        <v>120</v>
      </c>
      <c r="AB3" s="150"/>
      <c r="AC3" s="75">
        <v>1</v>
      </c>
      <c r="AD3" s="54">
        <v>14.8</v>
      </c>
      <c r="AE3" s="55">
        <v>330</v>
      </c>
      <c r="AF3" s="150"/>
      <c r="AG3" s="75">
        <v>1</v>
      </c>
      <c r="AH3" s="54">
        <v>19.27</v>
      </c>
      <c r="AI3" s="55">
        <v>80</v>
      </c>
      <c r="AJ3" s="150"/>
      <c r="AK3" s="75">
        <v>1</v>
      </c>
      <c r="AL3" s="54"/>
      <c r="AM3" s="55"/>
      <c r="AN3" s="150">
        <v>1.0416666666666666E-2</v>
      </c>
      <c r="AO3" s="75">
        <v>1</v>
      </c>
      <c r="AP3" s="54">
        <v>29.47</v>
      </c>
      <c r="AQ3" s="55">
        <v>180</v>
      </c>
      <c r="AR3" s="150"/>
      <c r="AS3" s="75">
        <v>1</v>
      </c>
      <c r="AT3" s="54">
        <v>15.69</v>
      </c>
      <c r="AU3" s="55">
        <v>165</v>
      </c>
      <c r="AV3" s="150">
        <v>2.0833333333333332E-2</v>
      </c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50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50"/>
      <c r="I4" s="75">
        <f t="shared" ref="I4:I33" si="2">I3+1</f>
        <v>2</v>
      </c>
      <c r="J4" s="54">
        <v>12.45</v>
      </c>
      <c r="K4" s="55">
        <v>45</v>
      </c>
      <c r="L4" s="150"/>
      <c r="M4" s="75">
        <f t="shared" ref="M4:M32" si="3">M3+1</f>
        <v>2</v>
      </c>
      <c r="N4" s="54">
        <v>62.05</v>
      </c>
      <c r="O4" s="55">
        <v>380</v>
      </c>
      <c r="P4" s="150"/>
      <c r="Q4" s="75">
        <f t="shared" ref="Q4:Q33" si="4">Q3+1</f>
        <v>2</v>
      </c>
      <c r="R4" s="54">
        <v>10</v>
      </c>
      <c r="S4" s="55">
        <v>30</v>
      </c>
      <c r="T4" s="150"/>
      <c r="U4" s="75">
        <f t="shared" ref="U4:U32" si="5">U3+1</f>
        <v>2</v>
      </c>
      <c r="V4" s="54">
        <v>5</v>
      </c>
      <c r="W4" s="55">
        <v>3</v>
      </c>
      <c r="X4" s="150"/>
      <c r="Y4" s="75">
        <f t="shared" ref="Y4:Y33" si="6">Y3+1</f>
        <v>2</v>
      </c>
      <c r="Z4" s="54">
        <v>10</v>
      </c>
      <c r="AA4" s="55">
        <v>30</v>
      </c>
      <c r="AB4" s="150"/>
      <c r="AC4" s="75">
        <f t="shared" ref="AC4:AC33" si="7">AC3+1</f>
        <v>2</v>
      </c>
      <c r="AD4" s="54">
        <v>9</v>
      </c>
      <c r="AE4" s="55">
        <v>25</v>
      </c>
      <c r="AF4" s="150"/>
      <c r="AG4" s="75">
        <f>AG3+1</f>
        <v>2</v>
      </c>
      <c r="AH4" s="54">
        <v>14.8</v>
      </c>
      <c r="AI4" s="55">
        <v>330</v>
      </c>
      <c r="AJ4" s="150"/>
      <c r="AK4" s="75">
        <f>AK3+1</f>
        <v>2</v>
      </c>
      <c r="AL4" s="54">
        <v>45.64</v>
      </c>
      <c r="AM4" s="55">
        <v>335</v>
      </c>
      <c r="AN4" s="150"/>
      <c r="AO4" s="75">
        <f>AO3+1</f>
        <v>2</v>
      </c>
      <c r="AP4" s="54">
        <v>11.54</v>
      </c>
      <c r="AQ4" s="55">
        <v>30</v>
      </c>
      <c r="AR4" s="150"/>
      <c r="AS4" s="75">
        <f>AS3+1</f>
        <v>2</v>
      </c>
      <c r="AT4" s="54">
        <v>5</v>
      </c>
      <c r="AU4" s="55">
        <v>3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19.86</v>
      </c>
      <c r="C5" s="55">
        <v>72</v>
      </c>
      <c r="D5" s="150"/>
      <c r="E5" s="75">
        <f t="shared" si="1"/>
        <v>3</v>
      </c>
      <c r="F5" s="54">
        <v>10</v>
      </c>
      <c r="G5" s="55">
        <v>15</v>
      </c>
      <c r="H5" s="150">
        <v>1.3888888888888888E-2</v>
      </c>
      <c r="I5" s="75">
        <f t="shared" si="2"/>
        <v>3</v>
      </c>
      <c r="J5" s="54">
        <v>25.16</v>
      </c>
      <c r="K5" s="55">
        <v>25</v>
      </c>
      <c r="L5" s="150"/>
      <c r="M5" s="75">
        <f t="shared" si="3"/>
        <v>3</v>
      </c>
      <c r="N5" s="54">
        <v>64.42</v>
      </c>
      <c r="O5" s="55">
        <v>903</v>
      </c>
      <c r="P5" s="150"/>
      <c r="Q5" s="75">
        <f t="shared" si="4"/>
        <v>3</v>
      </c>
      <c r="R5" s="54">
        <v>5</v>
      </c>
      <c r="S5" s="55">
        <v>3</v>
      </c>
      <c r="T5" s="150"/>
      <c r="U5" s="75">
        <f t="shared" si="5"/>
        <v>3</v>
      </c>
      <c r="V5" s="54">
        <v>7</v>
      </c>
      <c r="W5" s="55">
        <v>3</v>
      </c>
      <c r="X5" s="150"/>
      <c r="Y5" s="75">
        <f t="shared" si="6"/>
        <v>3</v>
      </c>
      <c r="Z5" s="54">
        <v>13.96</v>
      </c>
      <c r="AA5" s="55">
        <v>140</v>
      </c>
      <c r="AB5" s="150">
        <v>3.4722222222222224E-2</v>
      </c>
      <c r="AC5" s="75">
        <f t="shared" si="7"/>
        <v>3</v>
      </c>
      <c r="AD5" s="54">
        <v>17.8</v>
      </c>
      <c r="AE5" s="55">
        <v>367</v>
      </c>
      <c r="AF5" s="150"/>
      <c r="AG5" s="75">
        <f t="shared" ref="AG5:AG32" si="8">AG4+1</f>
        <v>3</v>
      </c>
      <c r="AH5" s="54">
        <v>41.25</v>
      </c>
      <c r="AI5" s="55">
        <v>310</v>
      </c>
      <c r="AJ5" s="150"/>
      <c r="AK5" s="75">
        <f t="shared" ref="AK5:AK33" si="9">AK4+1</f>
        <v>3</v>
      </c>
      <c r="AL5" s="54">
        <v>34.96</v>
      </c>
      <c r="AM5" s="55">
        <v>55</v>
      </c>
      <c r="AN5" s="150"/>
      <c r="AO5" s="75">
        <f t="shared" ref="AO5:AO32" si="10">AO4+1</f>
        <v>3</v>
      </c>
      <c r="AP5" s="54">
        <v>5</v>
      </c>
      <c r="AQ5" s="55">
        <v>3</v>
      </c>
      <c r="AR5" s="150"/>
      <c r="AS5" s="75">
        <f t="shared" ref="AS5:AS33" si="11">AS4+1</f>
        <v>3</v>
      </c>
      <c r="AT5" s="54">
        <v>42.480000000000004</v>
      </c>
      <c r="AU5" s="55">
        <v>531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11.879999999999999</v>
      </c>
      <c r="C6" s="55">
        <v>37</v>
      </c>
      <c r="D6" s="150"/>
      <c r="E6" s="75">
        <f t="shared" si="1"/>
        <v>4</v>
      </c>
      <c r="F6" s="54">
        <v>10.8</v>
      </c>
      <c r="G6" s="55">
        <v>3</v>
      </c>
      <c r="H6" s="150"/>
      <c r="I6" s="75">
        <f t="shared" si="2"/>
        <v>4</v>
      </c>
      <c r="J6" s="54">
        <v>12.45</v>
      </c>
      <c r="K6" s="55">
        <v>45</v>
      </c>
      <c r="L6" s="150"/>
      <c r="M6" s="75">
        <f t="shared" si="3"/>
        <v>4</v>
      </c>
      <c r="N6" s="54">
        <v>11</v>
      </c>
      <c r="O6" s="55">
        <v>45</v>
      </c>
      <c r="P6" s="150"/>
      <c r="Q6" s="75">
        <f t="shared" si="4"/>
        <v>4</v>
      </c>
      <c r="R6" s="54">
        <v>21.1</v>
      </c>
      <c r="S6" s="55">
        <v>360</v>
      </c>
      <c r="T6" s="150"/>
      <c r="U6" s="75">
        <f t="shared" si="5"/>
        <v>4</v>
      </c>
      <c r="V6" s="54">
        <v>5</v>
      </c>
      <c r="W6" s="55">
        <v>3</v>
      </c>
      <c r="X6" s="150">
        <v>2.0833333333333332E-2</v>
      </c>
      <c r="Y6" s="75">
        <f t="shared" si="6"/>
        <v>4</v>
      </c>
      <c r="Z6" s="54">
        <v>13</v>
      </c>
      <c r="AA6" s="55">
        <v>30</v>
      </c>
      <c r="AB6" s="150"/>
      <c r="AC6" s="75">
        <f t="shared" si="7"/>
        <v>4</v>
      </c>
      <c r="AD6" s="54">
        <v>10</v>
      </c>
      <c r="AE6" s="55">
        <v>40</v>
      </c>
      <c r="AF6" s="150"/>
      <c r="AG6" s="75">
        <f t="shared" si="8"/>
        <v>4</v>
      </c>
      <c r="AH6" s="54">
        <v>42.26</v>
      </c>
      <c r="AI6" s="55">
        <v>320</v>
      </c>
      <c r="AJ6" s="150"/>
      <c r="AK6" s="75">
        <f t="shared" si="9"/>
        <v>4</v>
      </c>
      <c r="AL6" s="54">
        <v>10.199999999999999</v>
      </c>
      <c r="AM6" s="55">
        <v>5</v>
      </c>
      <c r="AN6" s="150"/>
      <c r="AO6" s="75">
        <f t="shared" si="10"/>
        <v>4</v>
      </c>
      <c r="AP6" s="54">
        <v>19.13</v>
      </c>
      <c r="AQ6" s="55">
        <v>55</v>
      </c>
      <c r="AR6" s="150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50">
        <v>1.0416666666666666E-2</v>
      </c>
      <c r="AW6" s="67"/>
    </row>
    <row r="7" spans="1:49" s="49" customFormat="1" ht="11.25" x14ac:dyDescent="0.2">
      <c r="A7" s="73">
        <f t="shared" si="0"/>
        <v>5</v>
      </c>
      <c r="B7" s="54">
        <v>11</v>
      </c>
      <c r="C7" s="55">
        <v>45</v>
      </c>
      <c r="D7" s="150"/>
      <c r="E7" s="75">
        <f t="shared" si="1"/>
        <v>5</v>
      </c>
      <c r="F7" s="54">
        <v>10</v>
      </c>
      <c r="G7" s="55">
        <v>30</v>
      </c>
      <c r="H7" s="150"/>
      <c r="I7" s="75">
        <f t="shared" si="2"/>
        <v>5</v>
      </c>
      <c r="J7" s="54">
        <v>16.7</v>
      </c>
      <c r="K7" s="55">
        <v>148</v>
      </c>
      <c r="L7" s="150"/>
      <c r="M7" s="75">
        <f t="shared" si="3"/>
        <v>5</v>
      </c>
      <c r="N7" s="54">
        <v>10</v>
      </c>
      <c r="O7" s="55">
        <v>23</v>
      </c>
      <c r="P7" s="150"/>
      <c r="Q7" s="75">
        <f t="shared" si="4"/>
        <v>5</v>
      </c>
      <c r="R7" s="54"/>
      <c r="S7" s="55"/>
      <c r="T7" s="150">
        <v>1.3888888888888888E-2</v>
      </c>
      <c r="U7" s="75">
        <f t="shared" si="5"/>
        <v>5</v>
      </c>
      <c r="V7" s="54">
        <v>31.599999999999998</v>
      </c>
      <c r="W7" s="55">
        <v>273</v>
      </c>
      <c r="X7" s="150">
        <v>1.0416666666666666E-2</v>
      </c>
      <c r="Y7" s="75">
        <f t="shared" si="6"/>
        <v>5</v>
      </c>
      <c r="Z7" s="54">
        <v>30.480000000000004</v>
      </c>
      <c r="AA7" s="55">
        <v>75</v>
      </c>
      <c r="AB7" s="150"/>
      <c r="AC7" s="75">
        <f t="shared" si="7"/>
        <v>5</v>
      </c>
      <c r="AD7" s="54">
        <v>23.2</v>
      </c>
      <c r="AE7" s="55">
        <v>444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15.6</v>
      </c>
      <c r="AM7" s="55">
        <v>65</v>
      </c>
      <c r="AN7" s="150"/>
      <c r="AO7" s="75">
        <f t="shared" si="10"/>
        <v>5</v>
      </c>
      <c r="AP7" s="54">
        <v>10.5</v>
      </c>
      <c r="AQ7" s="55">
        <v>5</v>
      </c>
      <c r="AR7" s="150"/>
      <c r="AS7" s="75">
        <f t="shared" si="11"/>
        <v>5</v>
      </c>
      <c r="AT7" s="54">
        <v>19.84</v>
      </c>
      <c r="AU7" s="55">
        <v>30</v>
      </c>
      <c r="AV7" s="150">
        <v>1.5277777777777777E-2</v>
      </c>
      <c r="AW7" s="67"/>
    </row>
    <row r="8" spans="1:49" s="49" customFormat="1" ht="11.25" x14ac:dyDescent="0.2">
      <c r="A8" s="73">
        <f t="shared" si="0"/>
        <v>6</v>
      </c>
      <c r="B8" s="54">
        <v>29.66</v>
      </c>
      <c r="C8" s="55">
        <v>28</v>
      </c>
      <c r="D8" s="150"/>
      <c r="E8" s="75">
        <f t="shared" si="1"/>
        <v>6</v>
      </c>
      <c r="F8" s="54">
        <v>57.1</v>
      </c>
      <c r="G8" s="55">
        <v>705</v>
      </c>
      <c r="H8" s="150"/>
      <c r="I8" s="75">
        <f t="shared" si="2"/>
        <v>6</v>
      </c>
      <c r="J8" s="54">
        <v>25.060000000000002</v>
      </c>
      <c r="K8" s="55">
        <v>402</v>
      </c>
      <c r="L8" s="150"/>
      <c r="M8" s="75">
        <f t="shared" si="3"/>
        <v>6</v>
      </c>
      <c r="N8" s="54"/>
      <c r="O8" s="55"/>
      <c r="P8" s="150"/>
      <c r="Q8" s="75">
        <f t="shared" si="4"/>
        <v>6</v>
      </c>
      <c r="R8" s="54">
        <v>16.600000000000001</v>
      </c>
      <c r="S8" s="55">
        <v>354</v>
      </c>
      <c r="T8" s="150"/>
      <c r="U8" s="75">
        <f t="shared" si="5"/>
        <v>6</v>
      </c>
      <c r="V8" s="54">
        <v>17</v>
      </c>
      <c r="W8" s="55">
        <v>33</v>
      </c>
      <c r="X8" s="150"/>
      <c r="Y8" s="75">
        <f t="shared" si="6"/>
        <v>6</v>
      </c>
      <c r="Z8" s="54">
        <v>20.07</v>
      </c>
      <c r="AA8" s="55">
        <v>140</v>
      </c>
      <c r="AB8" s="150"/>
      <c r="AC8" s="75">
        <f t="shared" si="7"/>
        <v>6</v>
      </c>
      <c r="AD8" s="54">
        <v>49</v>
      </c>
      <c r="AE8" s="55">
        <v>390</v>
      </c>
      <c r="AF8" s="150"/>
      <c r="AG8" s="75">
        <f t="shared" si="8"/>
        <v>6</v>
      </c>
      <c r="AH8" s="54">
        <v>16.260000000000002</v>
      </c>
      <c r="AI8" s="55">
        <v>50</v>
      </c>
      <c r="AJ8" s="150"/>
      <c r="AK8" s="75">
        <f t="shared" si="9"/>
        <v>6</v>
      </c>
      <c r="AL8" s="54">
        <v>12.45</v>
      </c>
      <c r="AM8" s="55">
        <v>45</v>
      </c>
      <c r="AN8" s="150"/>
      <c r="AO8" s="75">
        <f t="shared" si="10"/>
        <v>6</v>
      </c>
      <c r="AP8" s="54">
        <v>33.07</v>
      </c>
      <c r="AQ8" s="55">
        <v>160</v>
      </c>
      <c r="AR8" s="150"/>
      <c r="AS8" s="75">
        <f t="shared" si="11"/>
        <v>6</v>
      </c>
      <c r="AT8" s="54">
        <v>10</v>
      </c>
      <c r="AU8" s="55">
        <v>25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10</v>
      </c>
      <c r="C9" s="55">
        <v>15</v>
      </c>
      <c r="D9" s="150"/>
      <c r="E9" s="75">
        <f t="shared" si="1"/>
        <v>7</v>
      </c>
      <c r="F9" s="54">
        <v>23.560000000000002</v>
      </c>
      <c r="G9" s="55">
        <v>400</v>
      </c>
      <c r="H9" s="150"/>
      <c r="I9" s="75">
        <f t="shared" si="2"/>
        <v>7</v>
      </c>
      <c r="J9" s="54">
        <v>26.7</v>
      </c>
      <c r="K9" s="55">
        <v>35</v>
      </c>
      <c r="L9" s="150"/>
      <c r="M9" s="75">
        <f t="shared" si="3"/>
        <v>7</v>
      </c>
      <c r="N9" s="54">
        <v>10.3</v>
      </c>
      <c r="O9" s="55">
        <v>25</v>
      </c>
      <c r="P9" s="150"/>
      <c r="Q9" s="75">
        <f t="shared" si="4"/>
        <v>7</v>
      </c>
      <c r="R9" s="54">
        <v>78.3</v>
      </c>
      <c r="S9" s="55">
        <v>2025</v>
      </c>
      <c r="T9" s="150"/>
      <c r="U9" s="75">
        <f t="shared" si="5"/>
        <v>7</v>
      </c>
      <c r="V9" s="54">
        <v>13</v>
      </c>
      <c r="W9" s="55">
        <v>100</v>
      </c>
      <c r="X9" s="150"/>
      <c r="Y9" s="75">
        <f t="shared" si="6"/>
        <v>7</v>
      </c>
      <c r="Z9" s="54">
        <v>14.8</v>
      </c>
      <c r="AA9" s="55">
        <v>330</v>
      </c>
      <c r="AB9" s="150"/>
      <c r="AC9" s="75">
        <f t="shared" si="7"/>
        <v>7</v>
      </c>
      <c r="AD9" s="54">
        <v>84.4</v>
      </c>
      <c r="AE9" s="55">
        <v>1060</v>
      </c>
      <c r="AF9" s="150">
        <v>1.0416666666666666E-2</v>
      </c>
      <c r="AG9" s="75">
        <f t="shared" si="8"/>
        <v>7</v>
      </c>
      <c r="AH9" s="54">
        <v>14.8</v>
      </c>
      <c r="AI9" s="55">
        <v>330</v>
      </c>
      <c r="AJ9" s="150"/>
      <c r="AK9" s="75">
        <f t="shared" si="9"/>
        <v>7</v>
      </c>
      <c r="AL9" s="54">
        <v>12.42</v>
      </c>
      <c r="AM9" s="55">
        <v>60</v>
      </c>
      <c r="AN9" s="150"/>
      <c r="AO9" s="75">
        <f t="shared" si="10"/>
        <v>7</v>
      </c>
      <c r="AP9" s="54">
        <v>5.15</v>
      </c>
      <c r="AQ9" s="55">
        <v>3</v>
      </c>
      <c r="AR9" s="150"/>
      <c r="AS9" s="75">
        <f t="shared" si="11"/>
        <v>7</v>
      </c>
      <c r="AT9" s="54">
        <v>11.25</v>
      </c>
      <c r="AU9" s="55">
        <v>30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</v>
      </c>
      <c r="C10" s="55">
        <v>15</v>
      </c>
      <c r="D10" s="150"/>
      <c r="E10" s="75">
        <f t="shared" si="1"/>
        <v>8</v>
      </c>
      <c r="F10" s="54">
        <v>10</v>
      </c>
      <c r="G10" s="55">
        <v>3</v>
      </c>
      <c r="H10" s="150"/>
      <c r="I10" s="75">
        <f t="shared" si="2"/>
        <v>8</v>
      </c>
      <c r="J10" s="54">
        <v>24.89</v>
      </c>
      <c r="K10" s="55">
        <v>25</v>
      </c>
      <c r="L10" s="150"/>
      <c r="M10" s="75">
        <f t="shared" si="3"/>
        <v>8</v>
      </c>
      <c r="N10" s="54">
        <v>15.100000000000001</v>
      </c>
      <c r="O10" s="55">
        <v>334</v>
      </c>
      <c r="P10" s="150"/>
      <c r="Q10" s="75">
        <f t="shared" si="4"/>
        <v>8</v>
      </c>
      <c r="R10" s="54">
        <v>19.05</v>
      </c>
      <c r="S10" s="55">
        <v>110</v>
      </c>
      <c r="T10" s="150"/>
      <c r="U10" s="75">
        <f t="shared" si="5"/>
        <v>8</v>
      </c>
      <c r="V10" s="54">
        <v>15</v>
      </c>
      <c r="W10" s="55">
        <v>46</v>
      </c>
      <c r="X10" s="150"/>
      <c r="Y10" s="75">
        <f t="shared" si="6"/>
        <v>8</v>
      </c>
      <c r="Z10" s="54">
        <v>14.8</v>
      </c>
      <c r="AA10" s="55">
        <v>330</v>
      </c>
      <c r="AB10" s="150"/>
      <c r="AC10" s="75">
        <f t="shared" si="7"/>
        <v>8</v>
      </c>
      <c r="AD10" s="54">
        <v>12.45</v>
      </c>
      <c r="AE10" s="55">
        <v>45</v>
      </c>
      <c r="AF10" s="150"/>
      <c r="AG10" s="75">
        <f t="shared" si="8"/>
        <v>8</v>
      </c>
      <c r="AH10" s="54">
        <v>18</v>
      </c>
      <c r="AI10" s="49">
        <v>55</v>
      </c>
      <c r="AJ10" s="150"/>
      <c r="AK10" s="75">
        <f t="shared" si="9"/>
        <v>8</v>
      </c>
      <c r="AL10" s="54">
        <v>39.150000000000006</v>
      </c>
      <c r="AM10" s="55">
        <v>774</v>
      </c>
      <c r="AN10" s="150"/>
      <c r="AO10" s="75">
        <f t="shared" si="10"/>
        <v>8</v>
      </c>
      <c r="AP10" s="54">
        <v>11</v>
      </c>
      <c r="AQ10" s="55">
        <v>30</v>
      </c>
      <c r="AR10" s="150"/>
      <c r="AS10" s="75">
        <f t="shared" si="11"/>
        <v>8</v>
      </c>
      <c r="AT10" s="54">
        <v>12.04</v>
      </c>
      <c r="AU10" s="55">
        <v>20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35.659999999999997</v>
      </c>
      <c r="C11" s="55">
        <v>70</v>
      </c>
      <c r="D11" s="150">
        <v>2.2916666666666669E-2</v>
      </c>
      <c r="E11" s="75">
        <f t="shared" si="1"/>
        <v>9</v>
      </c>
      <c r="F11" s="54">
        <v>10</v>
      </c>
      <c r="G11" s="55">
        <v>30</v>
      </c>
      <c r="H11" s="150"/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16.8</v>
      </c>
      <c r="O11" s="55">
        <v>20</v>
      </c>
      <c r="P11" s="150">
        <v>1.5277777777777777E-2</v>
      </c>
      <c r="Q11" s="75">
        <f t="shared" si="4"/>
        <v>9</v>
      </c>
      <c r="R11" s="54">
        <v>10</v>
      </c>
      <c r="S11" s="55">
        <v>20</v>
      </c>
      <c r="T11" s="150"/>
      <c r="U11" s="75">
        <f t="shared" si="5"/>
        <v>9</v>
      </c>
      <c r="V11" s="54">
        <v>16.3</v>
      </c>
      <c r="W11" s="55">
        <v>70</v>
      </c>
      <c r="X11" s="150"/>
      <c r="Y11" s="75">
        <f t="shared" si="6"/>
        <v>9</v>
      </c>
      <c r="Z11" s="54"/>
      <c r="AA11" s="55"/>
      <c r="AB11" s="150"/>
      <c r="AC11" s="75">
        <f t="shared" si="7"/>
        <v>9</v>
      </c>
      <c r="AD11" s="54">
        <v>13.38</v>
      </c>
      <c r="AE11" s="55">
        <v>30</v>
      </c>
      <c r="AF11" s="150"/>
      <c r="AG11" s="75">
        <f t="shared" si="8"/>
        <v>9</v>
      </c>
      <c r="AH11" s="54">
        <v>17.91</v>
      </c>
      <c r="AI11" s="55">
        <v>375</v>
      </c>
      <c r="AJ11" s="150"/>
      <c r="AK11" s="75">
        <f t="shared" si="9"/>
        <v>9</v>
      </c>
      <c r="AL11" s="54">
        <v>60.76</v>
      </c>
      <c r="AM11" s="55">
        <v>182</v>
      </c>
      <c r="AN11" s="150"/>
      <c r="AO11" s="75">
        <f t="shared" si="10"/>
        <v>9</v>
      </c>
      <c r="AP11" s="54">
        <v>10</v>
      </c>
      <c r="AQ11" s="55">
        <v>30</v>
      </c>
      <c r="AR11" s="150"/>
      <c r="AS11" s="75">
        <f t="shared" si="11"/>
        <v>9</v>
      </c>
      <c r="AT11" s="54">
        <v>6</v>
      </c>
      <c r="AU11" s="55">
        <v>3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33.43</v>
      </c>
      <c r="C12" s="55">
        <v>100</v>
      </c>
      <c r="D12" s="150"/>
      <c r="E12" s="75">
        <f t="shared" si="1"/>
        <v>10</v>
      </c>
      <c r="F12" s="54"/>
      <c r="G12" s="55"/>
      <c r="H12" s="150"/>
      <c r="I12" s="75">
        <f t="shared" si="2"/>
        <v>10</v>
      </c>
      <c r="J12" s="54"/>
      <c r="K12" s="55"/>
      <c r="L12" s="150"/>
      <c r="M12" s="75">
        <f t="shared" si="3"/>
        <v>10</v>
      </c>
      <c r="N12" s="54">
        <v>42.470000000000006</v>
      </c>
      <c r="O12" s="55">
        <v>550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>
        <v>22.53</v>
      </c>
      <c r="W12" s="55">
        <v>143</v>
      </c>
      <c r="X12" s="150"/>
      <c r="Y12" s="75">
        <f t="shared" si="6"/>
        <v>10</v>
      </c>
      <c r="Z12" s="54"/>
      <c r="AA12" s="55"/>
      <c r="AB12" s="150"/>
      <c r="AC12" s="75">
        <f t="shared" si="7"/>
        <v>10</v>
      </c>
      <c r="AD12" s="54">
        <v>13.38</v>
      </c>
      <c r="AE12" s="55">
        <v>30</v>
      </c>
      <c r="AF12" s="150"/>
      <c r="AG12" s="75">
        <f t="shared" si="8"/>
        <v>10</v>
      </c>
      <c r="AH12" s="54">
        <v>64.08</v>
      </c>
      <c r="AI12" s="49">
        <v>920</v>
      </c>
      <c r="AJ12" s="150"/>
      <c r="AK12" s="75">
        <f t="shared" si="9"/>
        <v>10</v>
      </c>
      <c r="AL12" s="54">
        <v>10.19</v>
      </c>
      <c r="AM12" s="55">
        <v>20</v>
      </c>
      <c r="AN12" s="150"/>
      <c r="AO12" s="75">
        <f t="shared" si="10"/>
        <v>10</v>
      </c>
      <c r="AP12" s="54">
        <v>10</v>
      </c>
      <c r="AQ12" s="55">
        <v>30</v>
      </c>
      <c r="AR12" s="150"/>
      <c r="AS12" s="75">
        <f t="shared" si="11"/>
        <v>10</v>
      </c>
      <c r="AT12" s="54">
        <v>32.99</v>
      </c>
      <c r="AU12" s="55">
        <v>912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10</v>
      </c>
      <c r="C13" s="55">
        <v>15</v>
      </c>
      <c r="D13" s="150"/>
      <c r="E13" s="75">
        <f t="shared" si="1"/>
        <v>11</v>
      </c>
      <c r="F13" s="54">
        <v>13.15</v>
      </c>
      <c r="G13" s="55">
        <v>105</v>
      </c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15.120000000000001</v>
      </c>
      <c r="O13" s="55">
        <v>35</v>
      </c>
      <c r="P13" s="150"/>
      <c r="Q13" s="75">
        <f t="shared" si="4"/>
        <v>11</v>
      </c>
      <c r="R13" s="54">
        <v>17.45</v>
      </c>
      <c r="S13" s="55">
        <v>48</v>
      </c>
      <c r="T13" s="150"/>
      <c r="U13" s="75">
        <f t="shared" si="5"/>
        <v>11</v>
      </c>
      <c r="V13" s="54">
        <v>24.25</v>
      </c>
      <c r="W13" s="55">
        <v>86</v>
      </c>
      <c r="X13" s="150">
        <v>6.9444444444444441E-3</v>
      </c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27.200000000000003</v>
      </c>
      <c r="AE13" s="55">
        <v>567</v>
      </c>
      <c r="AF13" s="150"/>
      <c r="AG13" s="75">
        <f t="shared" si="8"/>
        <v>11</v>
      </c>
      <c r="AH13" s="54">
        <v>43.230000000000004</v>
      </c>
      <c r="AI13" s="55">
        <v>318</v>
      </c>
      <c r="AJ13" s="150">
        <v>1.0416666666666666E-2</v>
      </c>
      <c r="AK13" s="75">
        <f t="shared" si="9"/>
        <v>11</v>
      </c>
      <c r="AL13" s="54">
        <v>5</v>
      </c>
      <c r="AM13" s="55">
        <v>20</v>
      </c>
      <c r="AN13" s="150"/>
      <c r="AO13" s="75">
        <f t="shared" si="10"/>
        <v>11</v>
      </c>
      <c r="AP13" s="54">
        <v>13.35</v>
      </c>
      <c r="AQ13" s="55">
        <v>45</v>
      </c>
      <c r="AR13" s="150"/>
      <c r="AS13" s="75">
        <f t="shared" si="11"/>
        <v>11</v>
      </c>
      <c r="AT13" s="54">
        <v>21.56</v>
      </c>
      <c r="AU13" s="55">
        <v>78</v>
      </c>
      <c r="AV13" s="150"/>
      <c r="AW13" s="67"/>
    </row>
    <row r="14" spans="1:49" s="49" customFormat="1" ht="11.25" x14ac:dyDescent="0.2">
      <c r="A14" s="73">
        <f t="shared" si="0"/>
        <v>12</v>
      </c>
      <c r="B14" s="54">
        <v>10</v>
      </c>
      <c r="C14" s="55">
        <v>15</v>
      </c>
      <c r="D14" s="150"/>
      <c r="E14" s="75">
        <f t="shared" si="1"/>
        <v>12</v>
      </c>
      <c r="F14" s="54">
        <v>14.3</v>
      </c>
      <c r="G14" s="55">
        <v>100</v>
      </c>
      <c r="H14" s="150"/>
      <c r="I14" s="75">
        <f t="shared" si="2"/>
        <v>12</v>
      </c>
      <c r="J14" s="54"/>
      <c r="K14" s="55"/>
      <c r="L14" s="150"/>
      <c r="M14" s="75">
        <f t="shared" si="3"/>
        <v>12</v>
      </c>
      <c r="N14" s="54">
        <v>6.5</v>
      </c>
      <c r="O14" s="55">
        <v>20</v>
      </c>
      <c r="P14" s="150"/>
      <c r="Q14" s="75">
        <f t="shared" si="4"/>
        <v>12</v>
      </c>
      <c r="R14" s="54">
        <v>11</v>
      </c>
      <c r="S14" s="55">
        <v>45</v>
      </c>
      <c r="T14" s="150"/>
      <c r="U14" s="75">
        <f t="shared" si="5"/>
        <v>12</v>
      </c>
      <c r="V14" s="54">
        <v>20</v>
      </c>
      <c r="W14" s="55">
        <v>26</v>
      </c>
      <c r="X14" s="150"/>
      <c r="Y14" s="75">
        <f t="shared" si="6"/>
        <v>12</v>
      </c>
      <c r="Z14" s="54"/>
      <c r="AA14" s="55"/>
      <c r="AB14" s="150"/>
      <c r="AC14" s="75">
        <f t="shared" si="7"/>
        <v>12</v>
      </c>
      <c r="AD14" s="54">
        <v>5</v>
      </c>
      <c r="AE14" s="78">
        <v>20</v>
      </c>
      <c r="AF14" s="150"/>
      <c r="AG14" s="75">
        <f t="shared" si="8"/>
        <v>12</v>
      </c>
      <c r="AH14" s="54">
        <v>21.2</v>
      </c>
      <c r="AI14" s="55">
        <v>100</v>
      </c>
      <c r="AJ14" s="150"/>
      <c r="AK14" s="75">
        <f t="shared" si="9"/>
        <v>12</v>
      </c>
      <c r="AL14" s="54">
        <v>14.48</v>
      </c>
      <c r="AM14" s="55">
        <v>32</v>
      </c>
      <c r="AN14" s="150"/>
      <c r="AO14" s="75">
        <f t="shared" si="10"/>
        <v>12</v>
      </c>
      <c r="AP14" s="54">
        <v>107</v>
      </c>
      <c r="AQ14" s="55">
        <v>220</v>
      </c>
      <c r="AR14" s="150"/>
      <c r="AS14" s="75">
        <f t="shared" si="11"/>
        <v>12</v>
      </c>
      <c r="AT14" s="54">
        <v>31.72</v>
      </c>
      <c r="AU14" s="55">
        <v>20</v>
      </c>
      <c r="AV14" s="150">
        <v>1.0416666666666666E-2</v>
      </c>
      <c r="AW14" s="67"/>
    </row>
    <row r="15" spans="1:49" s="49" customFormat="1" ht="11.25" x14ac:dyDescent="0.2">
      <c r="A15" s="73">
        <f t="shared" si="0"/>
        <v>13</v>
      </c>
      <c r="B15" s="54">
        <v>15.23</v>
      </c>
      <c r="C15" s="55">
        <v>60</v>
      </c>
      <c r="D15" s="150"/>
      <c r="E15" s="75">
        <f t="shared" si="1"/>
        <v>13</v>
      </c>
      <c r="F15" s="54">
        <v>26.22</v>
      </c>
      <c r="G15" s="55">
        <v>285</v>
      </c>
      <c r="H15" s="150"/>
      <c r="I15" s="75">
        <f t="shared" si="2"/>
        <v>13</v>
      </c>
      <c r="J15" s="54">
        <v>20.25</v>
      </c>
      <c r="K15" s="55">
        <v>10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18.48</v>
      </c>
      <c r="S15" s="55">
        <v>50</v>
      </c>
      <c r="T15" s="150"/>
      <c r="U15" s="75">
        <f t="shared" si="5"/>
        <v>13</v>
      </c>
      <c r="V15" s="54">
        <v>17</v>
      </c>
      <c r="W15" s="55">
        <v>68</v>
      </c>
      <c r="X15" s="150">
        <v>1.0416666666666666E-2</v>
      </c>
      <c r="Y15" s="75">
        <f t="shared" si="6"/>
        <v>13</v>
      </c>
      <c r="Z15" s="54"/>
      <c r="AA15" s="55"/>
      <c r="AB15" s="150"/>
      <c r="AC15" s="75">
        <f t="shared" si="7"/>
        <v>13</v>
      </c>
      <c r="AD15" s="54">
        <v>56.519999999999996</v>
      </c>
      <c r="AE15" s="55">
        <v>1320</v>
      </c>
      <c r="AF15" s="150"/>
      <c r="AG15" s="75">
        <f t="shared" si="8"/>
        <v>13</v>
      </c>
      <c r="AH15" s="54">
        <v>11.79</v>
      </c>
      <c r="AI15" s="55">
        <v>30</v>
      </c>
      <c r="AJ15" s="150"/>
      <c r="AK15" s="75">
        <f t="shared" si="9"/>
        <v>13</v>
      </c>
      <c r="AL15" s="54">
        <v>19.329999999999998</v>
      </c>
      <c r="AM15" s="55">
        <v>20</v>
      </c>
      <c r="AN15" s="150"/>
      <c r="AO15" s="75">
        <f t="shared" si="10"/>
        <v>13</v>
      </c>
      <c r="AP15" s="54">
        <v>32.520000000000003</v>
      </c>
      <c r="AQ15" s="55">
        <v>150</v>
      </c>
      <c r="AR15" s="150"/>
      <c r="AS15" s="75">
        <f t="shared" si="11"/>
        <v>13</v>
      </c>
      <c r="AT15" s="54"/>
      <c r="AU15" s="55"/>
      <c r="AV15" s="150"/>
      <c r="AW15" s="67"/>
    </row>
    <row r="16" spans="1:49" s="49" customFormat="1" ht="11.25" x14ac:dyDescent="0.2">
      <c r="A16" s="73">
        <f t="shared" si="0"/>
        <v>14</v>
      </c>
      <c r="B16" s="54">
        <v>15</v>
      </c>
      <c r="C16" s="55">
        <v>30</v>
      </c>
      <c r="D16" s="150"/>
      <c r="E16" s="75">
        <f t="shared" si="1"/>
        <v>14</v>
      </c>
      <c r="F16" s="54">
        <v>30.559999999999995</v>
      </c>
      <c r="G16" s="55">
        <v>232</v>
      </c>
      <c r="H16" s="150"/>
      <c r="I16" s="75">
        <f t="shared" si="2"/>
        <v>14</v>
      </c>
      <c r="J16" s="54">
        <v>11</v>
      </c>
      <c r="K16" s="55">
        <v>45</v>
      </c>
      <c r="L16" s="150"/>
      <c r="M16" s="75">
        <f t="shared" si="3"/>
        <v>14</v>
      </c>
      <c r="N16" s="54">
        <v>10.76</v>
      </c>
      <c r="O16" s="55">
        <v>72</v>
      </c>
      <c r="P16" s="150"/>
      <c r="Q16" s="75">
        <f t="shared" si="4"/>
        <v>14</v>
      </c>
      <c r="R16" s="54">
        <v>53.6</v>
      </c>
      <c r="S16" s="49">
        <v>590</v>
      </c>
      <c r="T16" s="150"/>
      <c r="U16" s="75">
        <f t="shared" si="5"/>
        <v>14</v>
      </c>
      <c r="V16" s="54">
        <v>21.330000000000002</v>
      </c>
      <c r="W16" s="55">
        <v>68</v>
      </c>
      <c r="X16" s="150">
        <v>1.0416666666666666E-2</v>
      </c>
      <c r="Y16" s="75">
        <f t="shared" si="6"/>
        <v>14</v>
      </c>
      <c r="Z16" s="54"/>
      <c r="AA16" s="55"/>
      <c r="AB16" s="150"/>
      <c r="AC16" s="75">
        <f t="shared" si="7"/>
        <v>14</v>
      </c>
      <c r="AD16" s="54">
        <v>111.31</v>
      </c>
      <c r="AE16" s="55">
        <v>1460</v>
      </c>
      <c r="AF16" s="150"/>
      <c r="AG16" s="75">
        <f t="shared" si="8"/>
        <v>14</v>
      </c>
      <c r="AH16" s="54">
        <v>23.25</v>
      </c>
      <c r="AI16" s="55">
        <v>110</v>
      </c>
      <c r="AJ16" s="150"/>
      <c r="AK16" s="75">
        <f t="shared" si="9"/>
        <v>14</v>
      </c>
      <c r="AL16" s="54">
        <v>16.38</v>
      </c>
      <c r="AM16" s="55">
        <v>90</v>
      </c>
      <c r="AN16" s="150"/>
      <c r="AO16" s="75">
        <f t="shared" si="10"/>
        <v>14</v>
      </c>
      <c r="AP16" s="54">
        <v>15.52</v>
      </c>
      <c r="AQ16" s="55">
        <v>70</v>
      </c>
      <c r="AR16" s="150"/>
      <c r="AS16" s="75">
        <f t="shared" si="11"/>
        <v>14</v>
      </c>
      <c r="AT16" s="54">
        <v>18.34</v>
      </c>
      <c r="AU16" s="55">
        <v>40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10</v>
      </c>
      <c r="C17" s="55">
        <v>15</v>
      </c>
      <c r="D17" s="150">
        <v>4.1666666666666664E-2</v>
      </c>
      <c r="E17" s="75">
        <f t="shared" si="1"/>
        <v>15</v>
      </c>
      <c r="F17" s="54">
        <v>10</v>
      </c>
      <c r="G17" s="55">
        <v>30</v>
      </c>
      <c r="H17" s="150"/>
      <c r="I17" s="75">
        <f t="shared" si="2"/>
        <v>15</v>
      </c>
      <c r="J17" s="54"/>
      <c r="K17" s="55"/>
      <c r="L17" s="150"/>
      <c r="M17" s="75">
        <f t="shared" si="3"/>
        <v>15</v>
      </c>
      <c r="N17" s="54">
        <v>16.27</v>
      </c>
      <c r="O17" s="55">
        <v>97</v>
      </c>
      <c r="P17" s="150"/>
      <c r="Q17" s="75">
        <f t="shared" si="4"/>
        <v>15</v>
      </c>
      <c r="R17" s="54"/>
      <c r="T17" s="150">
        <v>3.2638888888888891E-2</v>
      </c>
      <c r="U17" s="75">
        <f t="shared" si="5"/>
        <v>15</v>
      </c>
      <c r="V17" s="54">
        <v>13.38</v>
      </c>
      <c r="W17" s="55">
        <v>30</v>
      </c>
      <c r="X17" s="150"/>
      <c r="Y17" s="75">
        <f t="shared" si="6"/>
        <v>15</v>
      </c>
      <c r="Z17" s="54"/>
      <c r="AA17" s="55"/>
      <c r="AB17" s="150"/>
      <c r="AC17" s="75">
        <f t="shared" si="7"/>
        <v>15</v>
      </c>
      <c r="AD17" s="54">
        <v>66.929999999999993</v>
      </c>
      <c r="AE17" s="55">
        <v>752</v>
      </c>
      <c r="AF17" s="150"/>
      <c r="AG17" s="75">
        <f t="shared" si="8"/>
        <v>15</v>
      </c>
      <c r="AH17" s="54">
        <v>23.82</v>
      </c>
      <c r="AI17" s="55">
        <v>115</v>
      </c>
      <c r="AJ17" s="150"/>
      <c r="AK17" s="75">
        <f t="shared" si="9"/>
        <v>15</v>
      </c>
      <c r="AL17" s="54">
        <v>60.5</v>
      </c>
      <c r="AM17" s="55">
        <v>150</v>
      </c>
      <c r="AN17" s="150"/>
      <c r="AO17" s="75">
        <f t="shared" si="10"/>
        <v>15</v>
      </c>
      <c r="AP17" s="54"/>
      <c r="AQ17" s="55"/>
      <c r="AR17" s="150"/>
      <c r="AS17" s="75">
        <f t="shared" si="11"/>
        <v>15</v>
      </c>
      <c r="AT17" s="54">
        <v>14.05</v>
      </c>
      <c r="AU17" s="55">
        <v>85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23</v>
      </c>
      <c r="C18" s="55">
        <v>355</v>
      </c>
      <c r="D18" s="150"/>
      <c r="E18" s="75">
        <f t="shared" si="1"/>
        <v>16</v>
      </c>
      <c r="F18" s="54">
        <v>10</v>
      </c>
      <c r="G18" s="55">
        <v>30</v>
      </c>
      <c r="H18" s="150"/>
      <c r="I18" s="75">
        <f t="shared" si="2"/>
        <v>16</v>
      </c>
      <c r="J18" s="54">
        <v>19.2</v>
      </c>
      <c r="K18" s="55">
        <v>30</v>
      </c>
      <c r="L18" s="150"/>
      <c r="M18" s="75">
        <f t="shared" si="3"/>
        <v>16</v>
      </c>
      <c r="N18" s="54">
        <v>16.64</v>
      </c>
      <c r="O18" s="55">
        <v>12</v>
      </c>
      <c r="P18" s="150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50"/>
      <c r="U18" s="75">
        <f t="shared" si="5"/>
        <v>16</v>
      </c>
      <c r="V18" s="54">
        <v>25.1</v>
      </c>
      <c r="W18" s="55">
        <v>56</v>
      </c>
      <c r="X18" s="150"/>
      <c r="Y18" s="75">
        <f t="shared" si="6"/>
        <v>16</v>
      </c>
      <c r="Z18" s="54"/>
      <c r="AA18" s="55"/>
      <c r="AB18" s="150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50"/>
      <c r="AG18" s="75">
        <f t="shared" si="8"/>
        <v>16</v>
      </c>
      <c r="AH18" s="54">
        <v>11.38</v>
      </c>
      <c r="AI18" s="55">
        <v>55</v>
      </c>
      <c r="AJ18" s="150"/>
      <c r="AK18" s="75">
        <f t="shared" si="9"/>
        <v>16</v>
      </c>
      <c r="AL18" s="54">
        <v>50.59</v>
      </c>
      <c r="AM18" s="55">
        <v>270</v>
      </c>
      <c r="AN18" s="150"/>
      <c r="AO18" s="75">
        <f t="shared" si="10"/>
        <v>16</v>
      </c>
      <c r="AP18" s="54">
        <v>7.9</v>
      </c>
      <c r="AQ18" s="55">
        <v>20</v>
      </c>
      <c r="AR18" s="150">
        <v>1.0416666666666666E-2</v>
      </c>
      <c r="AS18" s="75">
        <f t="shared" si="11"/>
        <v>16</v>
      </c>
      <c r="AT18" s="54">
        <v>14.23</v>
      </c>
      <c r="AU18" s="55">
        <v>40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20.259999999999998</v>
      </c>
      <c r="C19" s="55">
        <v>75</v>
      </c>
      <c r="D19" s="150"/>
      <c r="E19" s="75">
        <f t="shared" si="1"/>
        <v>17</v>
      </c>
      <c r="F19" s="54">
        <v>10.5</v>
      </c>
      <c r="G19" s="55">
        <v>30</v>
      </c>
      <c r="H19" s="150"/>
      <c r="I19" s="75">
        <f t="shared" si="2"/>
        <v>17</v>
      </c>
      <c r="J19" s="54">
        <v>22.05</v>
      </c>
      <c r="K19" s="55">
        <v>127</v>
      </c>
      <c r="L19" s="150"/>
      <c r="M19" s="75">
        <f t="shared" si="3"/>
        <v>17</v>
      </c>
      <c r="N19" s="54">
        <v>16.600000000000001</v>
      </c>
      <c r="O19" s="55">
        <v>68</v>
      </c>
      <c r="P19" s="150">
        <v>4.1666666666666664E-2</v>
      </c>
      <c r="Q19" s="75">
        <f t="shared" si="4"/>
        <v>17</v>
      </c>
      <c r="R19" s="54">
        <v>13.65</v>
      </c>
      <c r="S19" s="55">
        <v>30</v>
      </c>
      <c r="T19" s="150"/>
      <c r="U19" s="75">
        <f t="shared" si="5"/>
        <v>17</v>
      </c>
      <c r="V19" s="54">
        <v>22.074999999999999</v>
      </c>
      <c r="W19" s="55">
        <v>50</v>
      </c>
      <c r="X19" s="150"/>
      <c r="Y19" s="75">
        <f t="shared" si="6"/>
        <v>17</v>
      </c>
      <c r="Z19" s="54">
        <v>43.6</v>
      </c>
      <c r="AA19" s="55">
        <v>1030</v>
      </c>
      <c r="AB19" s="150"/>
      <c r="AC19" s="75">
        <f t="shared" si="7"/>
        <v>17</v>
      </c>
      <c r="AD19" s="54">
        <v>5</v>
      </c>
      <c r="AE19" s="55">
        <v>20</v>
      </c>
      <c r="AF19" s="150"/>
      <c r="AG19" s="75">
        <f t="shared" si="8"/>
        <v>17</v>
      </c>
      <c r="AH19" s="54">
        <v>62.3</v>
      </c>
      <c r="AI19" s="55">
        <v>163</v>
      </c>
      <c r="AJ19" s="150"/>
      <c r="AK19" s="75">
        <f t="shared" si="9"/>
        <v>17</v>
      </c>
      <c r="AL19" s="54">
        <v>14</v>
      </c>
      <c r="AM19" s="55">
        <v>115</v>
      </c>
      <c r="AN19" s="150"/>
      <c r="AO19" s="75">
        <f t="shared" si="10"/>
        <v>17</v>
      </c>
      <c r="AP19" s="54">
        <v>10.11</v>
      </c>
      <c r="AQ19" s="55">
        <v>30</v>
      </c>
      <c r="AR19" s="150"/>
      <c r="AS19" s="75">
        <f t="shared" si="11"/>
        <v>17</v>
      </c>
      <c r="AT19" s="54">
        <v>22.68</v>
      </c>
      <c r="AU19" s="55">
        <v>20</v>
      </c>
      <c r="AV19" s="150">
        <v>1.0416666666666666E-2</v>
      </c>
      <c r="AW19" s="67"/>
    </row>
    <row r="20" spans="1:49" s="49" customFormat="1" ht="11.25" x14ac:dyDescent="0.2">
      <c r="A20" s="73">
        <f t="shared" si="0"/>
        <v>18</v>
      </c>
      <c r="B20" s="54">
        <v>11.14</v>
      </c>
      <c r="C20" s="55">
        <v>38</v>
      </c>
      <c r="D20" s="150"/>
      <c r="E20" s="75">
        <f t="shared" si="1"/>
        <v>18</v>
      </c>
      <c r="F20" s="54">
        <v>24.66</v>
      </c>
      <c r="G20" s="55">
        <v>25</v>
      </c>
      <c r="H20" s="150"/>
      <c r="I20" s="75">
        <f t="shared" si="2"/>
        <v>18</v>
      </c>
      <c r="J20" s="54">
        <v>19.2</v>
      </c>
      <c r="K20" s="55">
        <v>64</v>
      </c>
      <c r="L20" s="150"/>
      <c r="M20" s="75">
        <f t="shared" si="3"/>
        <v>18</v>
      </c>
      <c r="N20" s="54">
        <v>11</v>
      </c>
      <c r="O20" s="55">
        <v>30</v>
      </c>
      <c r="P20" s="150"/>
      <c r="Q20" s="75">
        <f t="shared" si="4"/>
        <v>18</v>
      </c>
      <c r="R20" s="54">
        <v>14.385</v>
      </c>
      <c r="S20" s="55">
        <v>30</v>
      </c>
      <c r="T20" s="150"/>
      <c r="U20" s="75">
        <f t="shared" si="5"/>
        <v>18</v>
      </c>
      <c r="V20" s="54">
        <v>15.225</v>
      </c>
      <c r="W20" s="55">
        <v>80</v>
      </c>
      <c r="X20" s="150"/>
      <c r="Y20" s="75">
        <f t="shared" si="6"/>
        <v>18</v>
      </c>
      <c r="Z20" s="54">
        <v>10</v>
      </c>
      <c r="AA20" s="55">
        <v>30</v>
      </c>
      <c r="AB20" s="150"/>
      <c r="AC20" s="75">
        <f t="shared" si="7"/>
        <v>18</v>
      </c>
      <c r="AD20" s="54">
        <v>19.5</v>
      </c>
      <c r="AE20" s="55">
        <v>40</v>
      </c>
      <c r="AF20" s="150"/>
      <c r="AG20" s="75">
        <f t="shared" si="8"/>
        <v>18</v>
      </c>
      <c r="AH20" s="54"/>
      <c r="AI20" s="55"/>
      <c r="AJ20" s="150">
        <v>4.6527777777777779E-2</v>
      </c>
      <c r="AK20" s="75">
        <f t="shared" si="9"/>
        <v>18</v>
      </c>
      <c r="AL20" s="54">
        <v>10</v>
      </c>
      <c r="AM20" s="55">
        <v>5</v>
      </c>
      <c r="AN20" s="150"/>
      <c r="AO20" s="75">
        <f t="shared" si="10"/>
        <v>18</v>
      </c>
      <c r="AP20" s="54">
        <v>11.31</v>
      </c>
      <c r="AQ20" s="55">
        <v>40</v>
      </c>
      <c r="AR20" s="150"/>
      <c r="AS20" s="75">
        <f t="shared" si="11"/>
        <v>18</v>
      </c>
      <c r="AT20" s="54">
        <v>30.3</v>
      </c>
      <c r="AU20" s="55">
        <v>270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10</v>
      </c>
      <c r="C21" s="55">
        <v>15</v>
      </c>
      <c r="D21" s="150"/>
      <c r="E21" s="75">
        <f t="shared" si="1"/>
        <v>19</v>
      </c>
      <c r="F21" s="54">
        <v>12.45</v>
      </c>
      <c r="G21" s="55">
        <v>45</v>
      </c>
      <c r="H21" s="150"/>
      <c r="I21" s="75">
        <f t="shared" si="2"/>
        <v>19</v>
      </c>
      <c r="J21" s="54">
        <v>101.2</v>
      </c>
      <c r="K21" s="55">
        <v>190</v>
      </c>
      <c r="L21" s="150"/>
      <c r="M21" s="75">
        <f t="shared" si="3"/>
        <v>19</v>
      </c>
      <c r="N21" s="54">
        <v>10</v>
      </c>
      <c r="O21" s="55">
        <v>30</v>
      </c>
      <c r="P21" s="150"/>
      <c r="Q21" s="75">
        <f t="shared" si="4"/>
        <v>19</v>
      </c>
      <c r="R21" s="54">
        <v>10</v>
      </c>
      <c r="S21" s="55">
        <v>3</v>
      </c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10</v>
      </c>
      <c r="AA21" s="55">
        <v>30</v>
      </c>
      <c r="AB21" s="150"/>
      <c r="AC21" s="75">
        <f t="shared" si="7"/>
        <v>19</v>
      </c>
      <c r="AD21" s="54">
        <v>22.400000000000002</v>
      </c>
      <c r="AE21" s="55">
        <v>465</v>
      </c>
      <c r="AF21" s="150"/>
      <c r="AG21" s="75">
        <f t="shared" si="8"/>
        <v>19</v>
      </c>
      <c r="AH21" s="54">
        <v>19.48</v>
      </c>
      <c r="AI21" s="55">
        <v>70</v>
      </c>
      <c r="AJ21" s="150"/>
      <c r="AK21" s="75">
        <f t="shared" si="9"/>
        <v>19</v>
      </c>
      <c r="AL21" s="54">
        <v>15.94</v>
      </c>
      <c r="AM21" s="55">
        <v>15</v>
      </c>
      <c r="AN21" s="150"/>
      <c r="AO21" s="75">
        <f t="shared" si="10"/>
        <v>19</v>
      </c>
      <c r="AP21" s="54">
        <v>14.36</v>
      </c>
      <c r="AQ21" s="55">
        <v>343</v>
      </c>
      <c r="AR21" s="150"/>
      <c r="AS21" s="75">
        <f t="shared" si="11"/>
        <v>19</v>
      </c>
      <c r="AT21" s="54">
        <v>37.299999999999997</v>
      </c>
      <c r="AU21" s="55">
        <v>153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12.5</v>
      </c>
      <c r="C22" s="55">
        <v>31</v>
      </c>
      <c r="D22" s="150"/>
      <c r="E22" s="75">
        <f t="shared" si="1"/>
        <v>20</v>
      </c>
      <c r="F22" s="54">
        <v>20</v>
      </c>
      <c r="G22" s="55">
        <v>35</v>
      </c>
      <c r="H22" s="150"/>
      <c r="I22" s="75">
        <f t="shared" si="2"/>
        <v>20</v>
      </c>
      <c r="J22" s="54">
        <v>23.65</v>
      </c>
      <c r="K22" s="55">
        <v>230</v>
      </c>
      <c r="L22" s="150"/>
      <c r="M22" s="75">
        <f t="shared" si="3"/>
        <v>20</v>
      </c>
      <c r="N22" s="54">
        <v>14.26</v>
      </c>
      <c r="O22" s="55">
        <v>75</v>
      </c>
      <c r="P22" s="150"/>
      <c r="Q22" s="75">
        <f t="shared" si="4"/>
        <v>20</v>
      </c>
      <c r="R22" s="54">
        <v>14</v>
      </c>
      <c r="S22" s="55">
        <v>60</v>
      </c>
      <c r="T22" s="150"/>
      <c r="U22" s="75">
        <f t="shared" si="5"/>
        <v>20</v>
      </c>
      <c r="V22" s="54">
        <v>61.444999999999993</v>
      </c>
      <c r="W22" s="55">
        <v>392</v>
      </c>
      <c r="X22" s="150"/>
      <c r="Y22" s="75">
        <f t="shared" si="6"/>
        <v>20</v>
      </c>
      <c r="Z22" s="54">
        <v>15.2</v>
      </c>
      <c r="AA22" s="55">
        <v>215</v>
      </c>
      <c r="AB22" s="150"/>
      <c r="AC22" s="75">
        <f t="shared" si="7"/>
        <v>20</v>
      </c>
      <c r="AD22" s="54">
        <v>10</v>
      </c>
      <c r="AE22" s="55">
        <v>20</v>
      </c>
      <c r="AF22" s="150">
        <v>1.0416666666666666E-2</v>
      </c>
      <c r="AG22" s="75">
        <f t="shared" si="8"/>
        <v>20</v>
      </c>
      <c r="AH22" s="54">
        <v>21.2</v>
      </c>
      <c r="AI22" s="55">
        <v>100</v>
      </c>
      <c r="AJ22" s="150"/>
      <c r="AK22" s="75">
        <f t="shared" si="9"/>
        <v>20</v>
      </c>
      <c r="AL22" s="54">
        <v>5</v>
      </c>
      <c r="AM22" s="55">
        <v>3</v>
      </c>
      <c r="AN22" s="150"/>
      <c r="AO22" s="75">
        <f t="shared" si="10"/>
        <v>20</v>
      </c>
      <c r="AP22" s="54">
        <v>62.83</v>
      </c>
      <c r="AQ22" s="55">
        <v>410</v>
      </c>
      <c r="AR22" s="150"/>
      <c r="AS22" s="75">
        <f t="shared" si="11"/>
        <v>20</v>
      </c>
      <c r="AT22" s="54">
        <v>10.1</v>
      </c>
      <c r="AU22" s="55">
        <v>25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11</v>
      </c>
      <c r="C23" s="55">
        <v>45</v>
      </c>
      <c r="D23" s="150"/>
      <c r="E23" s="75">
        <f t="shared" si="1"/>
        <v>21</v>
      </c>
      <c r="F23" s="54">
        <v>15</v>
      </c>
      <c r="G23" s="55">
        <v>30</v>
      </c>
      <c r="H23" s="150">
        <v>1.7361111111111112E-2</v>
      </c>
      <c r="I23" s="75">
        <f t="shared" si="2"/>
        <v>21</v>
      </c>
      <c r="J23" s="54">
        <v>5</v>
      </c>
      <c r="K23" s="55">
        <v>3</v>
      </c>
      <c r="L23" s="150"/>
      <c r="M23" s="75">
        <f t="shared" si="3"/>
        <v>21</v>
      </c>
      <c r="N23" s="54">
        <v>14</v>
      </c>
      <c r="O23" s="55">
        <v>100</v>
      </c>
      <c r="P23" s="150"/>
      <c r="Q23" s="75">
        <f t="shared" si="4"/>
        <v>21</v>
      </c>
      <c r="R23" s="54">
        <v>75.040000000000006</v>
      </c>
      <c r="S23" s="55">
        <v>1106</v>
      </c>
      <c r="T23" s="150">
        <v>1.0416666666666666E-2</v>
      </c>
      <c r="U23" s="75">
        <f t="shared" si="5"/>
        <v>21</v>
      </c>
      <c r="V23" s="54">
        <v>34</v>
      </c>
      <c r="W23" s="55">
        <v>57</v>
      </c>
      <c r="X23" s="150"/>
      <c r="Y23" s="75">
        <f t="shared" si="6"/>
        <v>21</v>
      </c>
      <c r="Z23" s="54">
        <v>5</v>
      </c>
      <c r="AA23" s="55">
        <v>20</v>
      </c>
      <c r="AB23" s="150"/>
      <c r="AC23" s="75">
        <f t="shared" si="7"/>
        <v>21</v>
      </c>
      <c r="AD23" s="54">
        <v>27.31</v>
      </c>
      <c r="AE23" s="55">
        <v>70</v>
      </c>
      <c r="AF23" s="150">
        <v>1.0416666666666666E-2</v>
      </c>
      <c r="AG23" s="75">
        <f t="shared" si="8"/>
        <v>21</v>
      </c>
      <c r="AH23" s="54">
        <v>22.83</v>
      </c>
      <c r="AI23" s="55">
        <v>172</v>
      </c>
      <c r="AJ23" s="150"/>
      <c r="AK23" s="75">
        <f t="shared" si="9"/>
        <v>21</v>
      </c>
      <c r="AL23" s="54">
        <v>16.350000000000001</v>
      </c>
      <c r="AM23" s="55">
        <v>335</v>
      </c>
      <c r="AN23" s="150"/>
      <c r="AO23" s="75">
        <f t="shared" si="10"/>
        <v>21</v>
      </c>
      <c r="AP23" s="54">
        <v>32.35</v>
      </c>
      <c r="AQ23" s="55">
        <v>275</v>
      </c>
      <c r="AR23" s="150"/>
      <c r="AS23" s="75">
        <f t="shared" si="11"/>
        <v>21</v>
      </c>
      <c r="AT23" s="54">
        <v>14.52</v>
      </c>
      <c r="AU23" s="55">
        <v>45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10.14</v>
      </c>
      <c r="C24" s="55">
        <v>35</v>
      </c>
      <c r="D24" s="150"/>
      <c r="E24" s="75">
        <f t="shared" si="1"/>
        <v>22</v>
      </c>
      <c r="F24" s="54">
        <v>29.11</v>
      </c>
      <c r="G24" s="55">
        <v>167</v>
      </c>
      <c r="H24" s="150"/>
      <c r="I24" s="75">
        <f t="shared" si="2"/>
        <v>22</v>
      </c>
      <c r="J24" s="54">
        <v>19.2</v>
      </c>
      <c r="K24" s="55">
        <v>30</v>
      </c>
      <c r="L24" s="150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50"/>
      <c r="U24" s="75">
        <f t="shared" si="5"/>
        <v>22</v>
      </c>
      <c r="V24" s="54">
        <v>29.66</v>
      </c>
      <c r="W24" s="55">
        <v>25</v>
      </c>
      <c r="X24" s="150"/>
      <c r="Y24" s="75">
        <f t="shared" si="6"/>
        <v>22</v>
      </c>
      <c r="Z24" s="54">
        <v>11.94</v>
      </c>
      <c r="AA24" s="55">
        <v>63</v>
      </c>
      <c r="AB24" s="150"/>
      <c r="AC24" s="75">
        <f t="shared" si="7"/>
        <v>22</v>
      </c>
      <c r="AD24" s="54">
        <v>11.33</v>
      </c>
      <c r="AE24" s="55">
        <v>45</v>
      </c>
      <c r="AF24" s="150"/>
      <c r="AG24" s="75">
        <f t="shared" si="8"/>
        <v>22</v>
      </c>
      <c r="AH24" s="54">
        <v>21.1</v>
      </c>
      <c r="AI24" s="55">
        <v>360</v>
      </c>
      <c r="AJ24" s="150"/>
      <c r="AK24" s="75">
        <f t="shared" si="9"/>
        <v>22</v>
      </c>
      <c r="AL24" s="54">
        <v>18.13</v>
      </c>
      <c r="AM24" s="55">
        <v>35</v>
      </c>
      <c r="AN24" s="150"/>
      <c r="AO24" s="75">
        <f t="shared" si="10"/>
        <v>22</v>
      </c>
      <c r="AP24" s="54">
        <v>12.7</v>
      </c>
      <c r="AQ24" s="55">
        <v>40</v>
      </c>
      <c r="AR24" s="150"/>
      <c r="AS24" s="75">
        <f t="shared" si="11"/>
        <v>22</v>
      </c>
      <c r="AT24" s="54">
        <v>13.51</v>
      </c>
      <c r="AU24" s="55">
        <v>50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19.2</v>
      </c>
      <c r="K25" s="55">
        <v>30</v>
      </c>
      <c r="L25" s="150"/>
      <c r="M25" s="75">
        <f t="shared" si="3"/>
        <v>23</v>
      </c>
      <c r="N25" s="54">
        <v>50</v>
      </c>
      <c r="O25" s="55">
        <v>135</v>
      </c>
      <c r="P25" s="150">
        <v>1.0416666666666666E-2</v>
      </c>
      <c r="Q25" s="75">
        <f t="shared" si="4"/>
        <v>23</v>
      </c>
      <c r="R25" s="54">
        <v>5</v>
      </c>
      <c r="S25" s="55">
        <v>3</v>
      </c>
      <c r="T25" s="150"/>
      <c r="U25" s="75">
        <f t="shared" si="5"/>
        <v>23</v>
      </c>
      <c r="V25" s="54">
        <v>16.484999999999999</v>
      </c>
      <c r="W25" s="55">
        <v>148</v>
      </c>
      <c r="X25" s="150"/>
      <c r="Y25" s="75">
        <f t="shared" si="6"/>
        <v>23</v>
      </c>
      <c r="Z25" s="54">
        <v>10</v>
      </c>
      <c r="AA25" s="55">
        <v>40</v>
      </c>
      <c r="AB25" s="150"/>
      <c r="AC25" s="75">
        <f t="shared" si="7"/>
        <v>23</v>
      </c>
      <c r="AD25" s="54">
        <v>22</v>
      </c>
      <c r="AE25" s="55">
        <v>424</v>
      </c>
      <c r="AF25" s="150"/>
      <c r="AG25" s="75">
        <f t="shared" si="8"/>
        <v>23</v>
      </c>
      <c r="AH25" s="54">
        <v>20.420000000000002</v>
      </c>
      <c r="AI25" s="55">
        <v>105</v>
      </c>
      <c r="AJ25" s="150"/>
      <c r="AK25" s="75">
        <f t="shared" si="9"/>
        <v>23</v>
      </c>
      <c r="AL25" s="54">
        <v>50.44</v>
      </c>
      <c r="AM25" s="55">
        <v>302</v>
      </c>
      <c r="AN25" s="150">
        <v>3.5416666666666666E-2</v>
      </c>
      <c r="AO25" s="75">
        <f t="shared" si="10"/>
        <v>23</v>
      </c>
      <c r="AP25" s="54">
        <v>10.4</v>
      </c>
      <c r="AQ25" s="55">
        <v>25</v>
      </c>
      <c r="AR25" s="150"/>
      <c r="AS25" s="75">
        <f t="shared" si="11"/>
        <v>23</v>
      </c>
      <c r="AT25" s="54">
        <v>10.39</v>
      </c>
      <c r="AU25" s="55">
        <v>185</v>
      </c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/>
      <c r="E26" s="75">
        <f t="shared" si="1"/>
        <v>24</v>
      </c>
      <c r="F26" s="54"/>
      <c r="G26" s="55"/>
      <c r="H26" s="150"/>
      <c r="I26" s="75">
        <f t="shared" si="2"/>
        <v>24</v>
      </c>
      <c r="J26" s="54">
        <v>5</v>
      </c>
      <c r="K26" s="55">
        <v>3</v>
      </c>
      <c r="L26" s="150"/>
      <c r="M26" s="75">
        <f t="shared" si="3"/>
        <v>24</v>
      </c>
      <c r="N26" s="54">
        <v>53.66</v>
      </c>
      <c r="O26" s="55">
        <v>568</v>
      </c>
      <c r="P26" s="150"/>
      <c r="Q26" s="75">
        <f t="shared" si="4"/>
        <v>24</v>
      </c>
      <c r="R26" s="54">
        <v>5</v>
      </c>
      <c r="S26" s="55">
        <v>20</v>
      </c>
      <c r="T26" s="150"/>
      <c r="U26" s="75">
        <f t="shared" si="5"/>
        <v>24</v>
      </c>
      <c r="V26" s="54">
        <v>75.95</v>
      </c>
      <c r="W26" s="55">
        <v>773</v>
      </c>
      <c r="X26" s="150"/>
      <c r="Y26" s="75">
        <f t="shared" si="6"/>
        <v>24</v>
      </c>
      <c r="Z26" s="54">
        <v>141.72</v>
      </c>
      <c r="AA26" s="55">
        <v>1479</v>
      </c>
      <c r="AB26" s="150"/>
      <c r="AC26" s="75">
        <f t="shared" si="7"/>
        <v>24</v>
      </c>
      <c r="AD26" s="54">
        <v>38.96</v>
      </c>
      <c r="AE26" s="55">
        <v>587</v>
      </c>
      <c r="AF26" s="150"/>
      <c r="AG26" s="75">
        <f t="shared" si="8"/>
        <v>24</v>
      </c>
      <c r="AH26" s="54">
        <v>38.57</v>
      </c>
      <c r="AI26" s="55">
        <v>260</v>
      </c>
      <c r="AJ26" s="150"/>
      <c r="AK26" s="75">
        <f t="shared" si="9"/>
        <v>24</v>
      </c>
      <c r="AL26" s="54">
        <v>10.31</v>
      </c>
      <c r="AM26" s="55">
        <v>25</v>
      </c>
      <c r="AN26" s="150"/>
      <c r="AO26" s="75">
        <f t="shared" si="10"/>
        <v>24</v>
      </c>
      <c r="AP26" s="54">
        <v>20.329999999999998</v>
      </c>
      <c r="AQ26" s="55">
        <v>50</v>
      </c>
      <c r="AR26" s="150"/>
      <c r="AS26" s="75">
        <f t="shared" si="11"/>
        <v>24</v>
      </c>
      <c r="AT26" s="54">
        <v>6.17</v>
      </c>
      <c r="AU26" s="55">
        <v>3</v>
      </c>
      <c r="AV26" s="150">
        <v>1.5277777777777777E-2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>
        <v>11.23</v>
      </c>
      <c r="G27" s="55">
        <v>45</v>
      </c>
      <c r="H27" s="150"/>
      <c r="I27" s="75">
        <f t="shared" si="2"/>
        <v>25</v>
      </c>
      <c r="J27" s="54"/>
      <c r="K27" s="55"/>
      <c r="L27" s="150">
        <v>1.0416666666666666E-2</v>
      </c>
      <c r="M27" s="75">
        <f t="shared" si="3"/>
        <v>25</v>
      </c>
      <c r="N27" s="54">
        <v>10</v>
      </c>
      <c r="O27" s="55">
        <v>30</v>
      </c>
      <c r="P27" s="150"/>
      <c r="Q27" s="75">
        <f t="shared" si="4"/>
        <v>25</v>
      </c>
      <c r="R27" s="54">
        <v>11</v>
      </c>
      <c r="S27" s="55">
        <v>45</v>
      </c>
      <c r="T27" s="150"/>
      <c r="U27" s="75">
        <f t="shared" si="5"/>
        <v>25</v>
      </c>
      <c r="V27" s="54">
        <v>22.650000000000002</v>
      </c>
      <c r="W27" s="55">
        <v>54</v>
      </c>
      <c r="X27" s="150">
        <v>6.9444444444444441E-3</v>
      </c>
      <c r="Y27" s="75">
        <f t="shared" si="6"/>
        <v>25</v>
      </c>
      <c r="Z27" s="54">
        <v>10</v>
      </c>
      <c r="AA27" s="55">
        <v>30</v>
      </c>
      <c r="AB27" s="150"/>
      <c r="AC27" s="75">
        <f t="shared" si="7"/>
        <v>25</v>
      </c>
      <c r="AD27" s="54">
        <v>19.3</v>
      </c>
      <c r="AE27" s="55">
        <v>368</v>
      </c>
      <c r="AF27" s="150">
        <v>1.0416666666666666E-2</v>
      </c>
      <c r="AG27" s="75">
        <f t="shared" si="8"/>
        <v>25</v>
      </c>
      <c r="AH27" s="54">
        <v>63.45</v>
      </c>
      <c r="AI27" s="55">
        <v>840</v>
      </c>
      <c r="AJ27" s="150"/>
      <c r="AK27" s="75">
        <f t="shared" si="9"/>
        <v>25</v>
      </c>
      <c r="AL27" s="54">
        <v>11</v>
      </c>
      <c r="AM27" s="55">
        <v>45</v>
      </c>
      <c r="AN27" s="150"/>
      <c r="AO27" s="75">
        <f t="shared" si="10"/>
        <v>25</v>
      </c>
      <c r="AP27" s="54">
        <v>16</v>
      </c>
      <c r="AQ27" s="55">
        <v>20</v>
      </c>
      <c r="AR27" s="150"/>
      <c r="AS27" s="75">
        <f t="shared" si="11"/>
        <v>25</v>
      </c>
      <c r="AT27" s="54">
        <v>10.36</v>
      </c>
      <c r="AU27" s="55">
        <v>80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10.73</v>
      </c>
      <c r="G28" s="55">
        <v>4</v>
      </c>
      <c r="H28" s="150"/>
      <c r="I28" s="75">
        <f t="shared" si="2"/>
        <v>26</v>
      </c>
      <c r="J28" s="54">
        <v>56.58</v>
      </c>
      <c r="K28" s="55">
        <v>710</v>
      </c>
      <c r="L28" s="150"/>
      <c r="M28" s="75">
        <f t="shared" si="3"/>
        <v>26</v>
      </c>
      <c r="N28" s="54">
        <v>5</v>
      </c>
      <c r="O28" s="55">
        <v>3</v>
      </c>
      <c r="P28" s="150"/>
      <c r="Q28" s="75">
        <f t="shared" si="4"/>
        <v>26</v>
      </c>
      <c r="R28" s="54">
        <v>45.45</v>
      </c>
      <c r="S28" s="55">
        <v>1080</v>
      </c>
      <c r="T28" s="150"/>
      <c r="U28" s="75">
        <f t="shared" si="5"/>
        <v>26</v>
      </c>
      <c r="V28" s="54">
        <v>10</v>
      </c>
      <c r="W28" s="55">
        <v>40</v>
      </c>
      <c r="X28" s="150">
        <v>2.2222222222222223E-2</v>
      </c>
      <c r="Y28" s="75">
        <f t="shared" si="6"/>
        <v>26</v>
      </c>
      <c r="Z28" s="54">
        <v>10</v>
      </c>
      <c r="AA28" s="55">
        <v>30</v>
      </c>
      <c r="AB28" s="150"/>
      <c r="AC28" s="75">
        <f t="shared" si="7"/>
        <v>26</v>
      </c>
      <c r="AD28" s="54">
        <v>28.599999999999998</v>
      </c>
      <c r="AE28" s="55">
        <v>587</v>
      </c>
      <c r="AF28" s="150"/>
      <c r="AG28" s="75">
        <f t="shared" si="8"/>
        <v>26</v>
      </c>
      <c r="AH28" s="54">
        <v>10.199999999999999</v>
      </c>
      <c r="AI28" s="55">
        <v>5</v>
      </c>
      <c r="AJ28" s="150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50"/>
      <c r="AO28" s="75">
        <f t="shared" si="10"/>
        <v>26</v>
      </c>
      <c r="AP28" s="54">
        <v>65.8</v>
      </c>
      <c r="AQ28" s="55">
        <v>130</v>
      </c>
      <c r="AR28" s="150"/>
      <c r="AS28" s="75">
        <f t="shared" si="11"/>
        <v>26</v>
      </c>
      <c r="AT28" s="54">
        <v>20.72</v>
      </c>
      <c r="AU28" s="55">
        <v>160</v>
      </c>
      <c r="AV28" s="150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/>
      <c r="E29" s="75">
        <f t="shared" si="1"/>
        <v>27</v>
      </c>
      <c r="F29" s="54">
        <v>91.8</v>
      </c>
      <c r="G29" s="55">
        <v>794</v>
      </c>
      <c r="H29" s="150"/>
      <c r="I29" s="75">
        <f t="shared" si="2"/>
        <v>27</v>
      </c>
      <c r="J29" s="54">
        <v>11</v>
      </c>
      <c r="K29" s="55">
        <v>6</v>
      </c>
      <c r="L29" s="150"/>
      <c r="M29" s="75">
        <f t="shared" si="3"/>
        <v>27</v>
      </c>
      <c r="N29" s="54">
        <v>16.5</v>
      </c>
      <c r="O29" s="55">
        <v>90</v>
      </c>
      <c r="P29" s="150"/>
      <c r="Q29" s="75">
        <f t="shared" si="4"/>
        <v>27</v>
      </c>
      <c r="R29" s="54">
        <v>20.41</v>
      </c>
      <c r="S29" s="55">
        <v>65</v>
      </c>
      <c r="T29" s="150"/>
      <c r="U29" s="75">
        <f t="shared" si="5"/>
        <v>27</v>
      </c>
      <c r="V29" s="54">
        <v>30.3</v>
      </c>
      <c r="W29" s="55">
        <v>270</v>
      </c>
      <c r="X29" s="150">
        <v>2.0833333333333332E-2</v>
      </c>
      <c r="Y29" s="75">
        <f t="shared" si="6"/>
        <v>27</v>
      </c>
      <c r="Z29" s="54">
        <v>15.38</v>
      </c>
      <c r="AA29" s="55">
        <v>30</v>
      </c>
      <c r="AB29" s="150"/>
      <c r="AC29" s="75">
        <f t="shared" si="7"/>
        <v>27</v>
      </c>
      <c r="AD29" s="54">
        <v>71.41</v>
      </c>
      <c r="AE29" s="55">
        <v>845</v>
      </c>
      <c r="AF29" s="150"/>
      <c r="AG29" s="75">
        <f t="shared" si="8"/>
        <v>27</v>
      </c>
      <c r="AH29" s="54">
        <v>8.26</v>
      </c>
      <c r="AI29" s="55">
        <v>70</v>
      </c>
      <c r="AJ29" s="150"/>
      <c r="AK29" s="75">
        <f t="shared" si="9"/>
        <v>27</v>
      </c>
      <c r="AL29" s="54">
        <v>13.97</v>
      </c>
      <c r="AM29" s="55">
        <v>48</v>
      </c>
      <c r="AN29" s="150"/>
      <c r="AO29" s="75">
        <f t="shared" si="10"/>
        <v>27</v>
      </c>
      <c r="AP29" s="54">
        <v>22.46</v>
      </c>
      <c r="AQ29" s="55">
        <v>113</v>
      </c>
      <c r="AR29" s="150">
        <v>1.0416666666666666E-2</v>
      </c>
      <c r="AS29" s="75">
        <f t="shared" si="11"/>
        <v>27</v>
      </c>
      <c r="AT29" s="54">
        <v>19.39</v>
      </c>
      <c r="AU29" s="55">
        <v>30</v>
      </c>
      <c r="AV29" s="150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50"/>
      <c r="E30" s="75">
        <f t="shared" si="1"/>
        <v>28</v>
      </c>
      <c r="F30" s="54">
        <v>34.700000000000003</v>
      </c>
      <c r="G30" s="55">
        <v>193</v>
      </c>
      <c r="H30" s="150"/>
      <c r="I30" s="75">
        <f t="shared" si="2"/>
        <v>28</v>
      </c>
      <c r="J30" s="54">
        <v>53.839999999999996</v>
      </c>
      <c r="K30" s="55">
        <v>215</v>
      </c>
      <c r="L30" s="150"/>
      <c r="M30" s="75">
        <f t="shared" si="3"/>
        <v>28</v>
      </c>
      <c r="N30" s="54">
        <v>15</v>
      </c>
      <c r="O30" s="55">
        <v>65</v>
      </c>
      <c r="P30" s="150"/>
      <c r="Q30" s="75">
        <f t="shared" si="4"/>
        <v>28</v>
      </c>
      <c r="R30" s="54">
        <v>18.375</v>
      </c>
      <c r="S30" s="55">
        <v>120</v>
      </c>
      <c r="T30" s="150">
        <v>1.0416666666666666E-2</v>
      </c>
      <c r="U30" s="75">
        <f t="shared" si="5"/>
        <v>28</v>
      </c>
      <c r="V30" s="54">
        <v>31.35</v>
      </c>
      <c r="W30" s="55">
        <v>125</v>
      </c>
      <c r="X30" s="150"/>
      <c r="Y30" s="75">
        <f t="shared" si="6"/>
        <v>28</v>
      </c>
      <c r="Z30" s="54">
        <v>17.38</v>
      </c>
      <c r="AA30" s="55">
        <v>30</v>
      </c>
      <c r="AB30" s="150"/>
      <c r="AC30" s="75">
        <f t="shared" si="7"/>
        <v>28</v>
      </c>
      <c r="AD30" s="54">
        <v>72.509999999999991</v>
      </c>
      <c r="AE30" s="55">
        <v>698</v>
      </c>
      <c r="AF30" s="150">
        <v>1.0416666666666666E-2</v>
      </c>
      <c r="AG30" s="75">
        <f t="shared" si="8"/>
        <v>28</v>
      </c>
      <c r="AH30" s="54">
        <v>13.11</v>
      </c>
      <c r="AI30" s="55">
        <v>103</v>
      </c>
      <c r="AJ30" s="150"/>
      <c r="AK30" s="75">
        <f t="shared" si="9"/>
        <v>28</v>
      </c>
      <c r="AL30" s="54">
        <v>12</v>
      </c>
      <c r="AM30" s="55">
        <v>150</v>
      </c>
      <c r="AN30" s="150"/>
      <c r="AO30" s="75">
        <f t="shared" si="10"/>
        <v>28</v>
      </c>
      <c r="AP30" s="54">
        <v>30.56</v>
      </c>
      <c r="AQ30" s="55">
        <v>40</v>
      </c>
      <c r="AR30" s="150"/>
      <c r="AS30" s="75">
        <f t="shared" si="11"/>
        <v>28</v>
      </c>
      <c r="AT30" s="54">
        <v>10.23</v>
      </c>
      <c r="AU30" s="55">
        <v>320</v>
      </c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>
        <v>29</v>
      </c>
      <c r="F31" s="54">
        <v>24.66</v>
      </c>
      <c r="G31" s="55">
        <v>25</v>
      </c>
      <c r="H31" s="150"/>
      <c r="I31" s="75">
        <f t="shared" si="2"/>
        <v>29</v>
      </c>
      <c r="J31" s="54">
        <v>5</v>
      </c>
      <c r="K31" s="55">
        <v>3</v>
      </c>
      <c r="L31" s="150"/>
      <c r="M31" s="75">
        <f t="shared" si="3"/>
        <v>29</v>
      </c>
      <c r="N31" s="54">
        <v>14.8</v>
      </c>
      <c r="O31" s="55">
        <v>330</v>
      </c>
      <c r="P31" s="150"/>
      <c r="Q31" s="75">
        <f t="shared" si="4"/>
        <v>29</v>
      </c>
      <c r="R31" s="54">
        <v>29.36</v>
      </c>
      <c r="S31" s="55">
        <v>223</v>
      </c>
      <c r="T31" s="150"/>
      <c r="U31" s="75">
        <f t="shared" si="5"/>
        <v>29</v>
      </c>
      <c r="V31" s="54">
        <v>58.209999999999994</v>
      </c>
      <c r="W31" s="55">
        <v>200</v>
      </c>
      <c r="X31" s="150"/>
      <c r="Y31" s="75">
        <f t="shared" si="6"/>
        <v>29</v>
      </c>
      <c r="Z31" s="54">
        <v>19</v>
      </c>
      <c r="AA31" s="55">
        <v>387</v>
      </c>
      <c r="AB31" s="150"/>
      <c r="AC31" s="75">
        <f t="shared" si="7"/>
        <v>29</v>
      </c>
      <c r="AD31" s="54">
        <v>17.8</v>
      </c>
      <c r="AE31" s="55">
        <v>367</v>
      </c>
      <c r="AF31" s="150"/>
      <c r="AG31" s="75">
        <f t="shared" si="8"/>
        <v>29</v>
      </c>
      <c r="AH31" s="54">
        <v>21.31</v>
      </c>
      <c r="AI31" s="55">
        <v>195</v>
      </c>
      <c r="AJ31" s="150"/>
      <c r="AK31" s="75">
        <f t="shared" si="9"/>
        <v>29</v>
      </c>
      <c r="AL31" s="54">
        <v>12.94</v>
      </c>
      <c r="AM31" s="55">
        <v>88</v>
      </c>
      <c r="AN31" s="150">
        <v>1.0416666666666666E-2</v>
      </c>
      <c r="AO31" s="75">
        <f t="shared" si="10"/>
        <v>29</v>
      </c>
      <c r="AP31" s="54">
        <v>14.55</v>
      </c>
      <c r="AQ31" s="55">
        <v>65</v>
      </c>
      <c r="AR31" s="150"/>
      <c r="AS31" s="75">
        <f t="shared" si="11"/>
        <v>29</v>
      </c>
      <c r="AT31" s="54">
        <v>15.41</v>
      </c>
      <c r="AU31" s="55">
        <v>75</v>
      </c>
      <c r="AV31" s="150"/>
      <c r="AW31" s="67"/>
    </row>
    <row r="32" spans="1:49" s="49" customFormat="1" ht="11.25" x14ac:dyDescent="0.2">
      <c r="A32" s="73">
        <f t="shared" si="0"/>
        <v>30</v>
      </c>
      <c r="B32" s="54"/>
      <c r="C32" s="55"/>
      <c r="D32" s="150"/>
      <c r="E32" s="75"/>
      <c r="F32" s="54"/>
      <c r="G32" s="55"/>
      <c r="H32" s="150"/>
      <c r="I32" s="75">
        <f t="shared" si="2"/>
        <v>30</v>
      </c>
      <c r="J32" s="54">
        <v>12</v>
      </c>
      <c r="K32" s="55">
        <v>30</v>
      </c>
      <c r="L32" s="150"/>
      <c r="M32" s="75">
        <f t="shared" si="3"/>
        <v>30</v>
      </c>
      <c r="N32" s="54">
        <v>63.680000000000007</v>
      </c>
      <c r="O32" s="55">
        <v>547</v>
      </c>
      <c r="P32" s="150"/>
      <c r="Q32" s="75">
        <f t="shared" si="4"/>
        <v>30</v>
      </c>
      <c r="R32" s="54">
        <v>5</v>
      </c>
      <c r="S32" s="55">
        <v>3</v>
      </c>
      <c r="T32" s="150"/>
      <c r="U32" s="75">
        <f t="shared" si="5"/>
        <v>30</v>
      </c>
      <c r="V32" s="54">
        <v>10</v>
      </c>
      <c r="W32" s="55">
        <v>15</v>
      </c>
      <c r="X32" s="150"/>
      <c r="Y32" s="75">
        <f t="shared" si="6"/>
        <v>30</v>
      </c>
      <c r="Z32" s="54">
        <v>54.2</v>
      </c>
      <c r="AA32" s="55">
        <v>901</v>
      </c>
      <c r="AB32" s="150"/>
      <c r="AC32" s="75">
        <f t="shared" si="7"/>
        <v>30</v>
      </c>
      <c r="AD32" s="54">
        <v>9.33</v>
      </c>
      <c r="AE32" s="55">
        <v>80</v>
      </c>
      <c r="AF32" s="150"/>
      <c r="AG32" s="75">
        <f t="shared" si="8"/>
        <v>30</v>
      </c>
      <c r="AH32" s="54">
        <v>10</v>
      </c>
      <c r="AI32" s="55">
        <v>20</v>
      </c>
      <c r="AJ32" s="150"/>
      <c r="AK32" s="75">
        <f t="shared" si="9"/>
        <v>30</v>
      </c>
      <c r="AL32" s="54">
        <v>78.349999999999994</v>
      </c>
      <c r="AM32" s="55">
        <v>852</v>
      </c>
      <c r="AN32" s="150"/>
      <c r="AO32" s="75">
        <f t="shared" si="10"/>
        <v>30</v>
      </c>
      <c r="AP32" s="54">
        <v>17.68</v>
      </c>
      <c r="AQ32" s="55">
        <v>90</v>
      </c>
      <c r="AR32" s="150"/>
      <c r="AS32" s="75">
        <f t="shared" si="11"/>
        <v>30</v>
      </c>
      <c r="AT32" s="54">
        <v>19.829999999999998</v>
      </c>
      <c r="AU32" s="55">
        <v>100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50.32</v>
      </c>
      <c r="C33" s="63">
        <v>50</v>
      </c>
      <c r="D33" s="151"/>
      <c r="E33" s="76"/>
      <c r="F33" s="62"/>
      <c r="G33" s="63"/>
      <c r="H33" s="151"/>
      <c r="I33" s="76">
        <f t="shared" si="2"/>
        <v>31</v>
      </c>
      <c r="J33" s="62">
        <v>11.17</v>
      </c>
      <c r="K33" s="63">
        <v>77</v>
      </c>
      <c r="L33" s="151"/>
      <c r="M33" s="76"/>
      <c r="N33" s="62"/>
      <c r="O33" s="63"/>
      <c r="P33" s="151"/>
      <c r="Q33" s="76">
        <f t="shared" si="4"/>
        <v>31</v>
      </c>
      <c r="R33" s="62">
        <v>14.219999999999999</v>
      </c>
      <c r="S33" s="63">
        <v>90</v>
      </c>
      <c r="T33" s="151"/>
      <c r="U33" s="76"/>
      <c r="V33" s="62"/>
      <c r="W33" s="63"/>
      <c r="X33" s="151"/>
      <c r="Y33" s="76">
        <f t="shared" si="6"/>
        <v>31</v>
      </c>
      <c r="Z33" s="62">
        <v>30.945000000000004</v>
      </c>
      <c r="AA33" s="63">
        <v>173</v>
      </c>
      <c r="AB33" s="151"/>
      <c r="AC33" s="76">
        <f t="shared" si="7"/>
        <v>31</v>
      </c>
      <c r="AD33" s="62">
        <v>14.8</v>
      </c>
      <c r="AE33" s="63">
        <v>330</v>
      </c>
      <c r="AF33" s="151"/>
      <c r="AG33" s="76"/>
      <c r="AH33" s="62"/>
      <c r="AI33" s="63"/>
      <c r="AJ33" s="151"/>
      <c r="AK33" s="76">
        <f t="shared" si="9"/>
        <v>31</v>
      </c>
      <c r="AL33" s="62">
        <v>11.04</v>
      </c>
      <c r="AM33" s="63">
        <v>50</v>
      </c>
      <c r="AN33" s="151"/>
      <c r="AO33" s="76"/>
      <c r="AP33" s="62"/>
      <c r="AQ33" s="63"/>
      <c r="AR33" s="151"/>
      <c r="AS33" s="76">
        <f t="shared" si="11"/>
        <v>31</v>
      </c>
      <c r="AT33" s="62">
        <v>22.970000000000002</v>
      </c>
      <c r="AU33" s="63">
        <v>360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1.25" x14ac:dyDescent="0.2">
      <c r="A35" s="46" t="s">
        <v>93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1.25" x14ac:dyDescent="0.2">
      <c r="A36" s="49" t="s">
        <v>149</v>
      </c>
      <c r="B36" s="47">
        <f>MAX(B3:B33)</f>
        <v>50.32</v>
      </c>
      <c r="C36" s="55">
        <f>MAX(C3:C33)</f>
        <v>355</v>
      </c>
      <c r="D36" s="152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52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52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52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52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52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52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52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52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52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52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17.622857142857143</v>
      </c>
      <c r="C37" s="55">
        <f>IFERROR(AVERAGE(C3:C33),0)</f>
        <v>55.285714285714285</v>
      </c>
      <c r="D37" s="152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52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52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52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52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52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52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52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52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52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52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52">
        <f>IFERROR(AVERAGE(AV3:AV33),0)</f>
        <v>1.3293650793650793E-2</v>
      </c>
      <c r="AW37" s="67"/>
    </row>
    <row r="38" spans="1:49" s="49" customFormat="1" ht="11.25" x14ac:dyDescent="0.2">
      <c r="A38" s="49" t="s">
        <v>236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1509.1799999999998</v>
      </c>
      <c r="K39" s="51">
        <f t="shared" ref="K39:L39" si="12">SUM(C34,G34,K34)</f>
        <v>7367</v>
      </c>
      <c r="L39" s="170">
        <f t="shared" si="12"/>
        <v>91.600000000000009</v>
      </c>
      <c r="M39" s="168"/>
      <c r="P39" s="169"/>
      <c r="Q39" s="168"/>
      <c r="T39" s="169"/>
      <c r="U39" s="168"/>
      <c r="V39" s="50">
        <f>SUM(N34,R34,V34)</f>
        <v>1991.5899999999997</v>
      </c>
      <c r="W39" s="51">
        <f>SUM(O34,S34,W34)</f>
        <v>16120</v>
      </c>
      <c r="X39" s="170">
        <f>SUM(P34,T34,X34)</f>
        <v>148.39999999999998</v>
      </c>
      <c r="Y39" s="168"/>
      <c r="AB39" s="169"/>
      <c r="AC39" s="168"/>
      <c r="AF39" s="169"/>
      <c r="AG39" s="168"/>
      <c r="AH39" s="86">
        <f>SUM(Z34,AD34,AH34)</f>
        <v>2170.665</v>
      </c>
      <c r="AI39" s="51">
        <f>SUM(AA34,AE34,AI34)</f>
        <v>23507</v>
      </c>
      <c r="AJ39" s="170">
        <f>SUM(AB34,AF34,AJ34)</f>
        <v>100.8</v>
      </c>
      <c r="AK39" s="168"/>
      <c r="AN39" s="169"/>
      <c r="AO39" s="168"/>
      <c r="AR39" s="169"/>
      <c r="AS39" s="168"/>
      <c r="AT39" s="50">
        <f>SUM(AL34,AP34,AT34)</f>
        <v>1923.9</v>
      </c>
      <c r="AU39" s="51">
        <f>SUM(AM34,AQ34,AU34)</f>
        <v>11406</v>
      </c>
      <c r="AV39" s="170">
        <f>SUM(AN34,AR34,AV34)</f>
        <v>112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52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52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52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52">
        <f>IFERROR(AVERAGE(AN37,AR37,AV37),0)</f>
        <v>1.5696649029982364E-2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23.070445414061023</v>
      </c>
      <c r="C42" s="87">
        <f>AB1</f>
        <v>175.17562884408821</v>
      </c>
      <c r="D42" s="88"/>
      <c r="E42" s="176" t="s">
        <v>399</v>
      </c>
      <c r="F42" s="177">
        <f>SUM(J23:J33,N3:N33,R3:R33,V3:V33,Z3:Z33,AD3:AD33,AH3:AH23)</f>
        <v>4153.8250000000007</v>
      </c>
      <c r="G42" s="178">
        <f>SUM(K23:K33,O3:O32,S3:S33,W3:W32,AA3:AA33,AE3:AE33,AI3:AI23)</f>
        <v>38776</v>
      </c>
      <c r="H42" s="179"/>
      <c r="I42" s="179"/>
      <c r="J42" s="180">
        <f>IFERROR(F42/(F42+F43),0)</f>
        <v>0.5468916117590602</v>
      </c>
      <c r="K42" s="180">
        <f>IFERROR(G42/(G42+G43),0)</f>
        <v>0.66397260273972603</v>
      </c>
      <c r="L42" s="179"/>
      <c r="M42" s="259" t="s">
        <v>600</v>
      </c>
      <c r="N42" s="257">
        <v>46</v>
      </c>
      <c r="Y42" s="144"/>
      <c r="AK42" s="211" t="s">
        <v>478</v>
      </c>
      <c r="AL42" s="47">
        <f>MAX(B34,F34,J34,N34,R34,V34,Z34,AD34,AH34,AL34,AP34,AT34)</f>
        <v>913.65999999999974</v>
      </c>
      <c r="AM42" s="212">
        <f>MAX(C34,G34,K34,O34,S34,W34,AA34,AE34,AI34,AM34,AQ34,AU34)</f>
        <v>11863</v>
      </c>
      <c r="AN42" s="49" t="s">
        <v>346</v>
      </c>
      <c r="AO42" s="210" t="s">
        <v>344</v>
      </c>
      <c r="AP42" s="54">
        <f>R1-'15'!R1</f>
        <v>9.1099999999999568</v>
      </c>
      <c r="AQ42" s="78">
        <f>AF1-'15'!AF1</f>
        <v>-1501</v>
      </c>
      <c r="AR42" s="49" t="s">
        <v>345</v>
      </c>
      <c r="AS42" s="209" t="s">
        <v>344</v>
      </c>
      <c r="AT42" s="54">
        <f>I1-'15'!I1</f>
        <v>11.719999999999999</v>
      </c>
      <c r="AU42" s="78">
        <f>AN1-'15'!AN1</f>
        <v>490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20.809136986301368</v>
      </c>
      <c r="C43" s="87">
        <f>AU1/365</f>
        <v>160</v>
      </c>
      <c r="D43" s="88"/>
      <c r="E43" s="172" t="s">
        <v>400</v>
      </c>
      <c r="F43" s="173">
        <f>E1-F42</f>
        <v>3441.5099999999984</v>
      </c>
      <c r="G43" s="174">
        <f>AU1-G42</f>
        <v>19624</v>
      </c>
      <c r="H43" s="175"/>
      <c r="I43" s="175"/>
      <c r="J43" s="181">
        <f>IFERROR(F43/(F42+F43),0)</f>
        <v>0.45310838824093985</v>
      </c>
      <c r="K43" s="181">
        <f>IFERROR(G43/(G42+G43),0)</f>
        <v>0.33602739726027397</v>
      </c>
      <c r="L43" s="175"/>
      <c r="M43" s="65" t="s">
        <v>601</v>
      </c>
      <c r="N43" s="258">
        <v>8</v>
      </c>
      <c r="Y43" s="67"/>
      <c r="AK43" s="213" t="s">
        <v>481</v>
      </c>
      <c r="AL43" s="188">
        <f>IF($B$1&lt;&gt;0,$AV$35/$B1,0)</f>
        <v>5.6261481697312488E-2</v>
      </c>
      <c r="AO43" s="209" t="s">
        <v>344</v>
      </c>
      <c r="AP43" s="54">
        <f>AV35-'15'!AV35</f>
        <v>372</v>
      </c>
      <c r="AQ43" s="188">
        <f>AL43-'15'!AL43</f>
        <v>4.6012603936743016E-2</v>
      </c>
      <c r="AR43" s="49" t="s">
        <v>204</v>
      </c>
      <c r="AS43" s="209" t="s">
        <v>344</v>
      </c>
      <c r="AT43" s="54">
        <f>B1-'15'!B1</f>
        <v>164.34500000000025</v>
      </c>
      <c r="AU43" s="78">
        <f>AU1-'15'!AU1</f>
        <v>-4350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85" priority="89" operator="equal">
      <formula>$R$1</formula>
    </cfRule>
    <cfRule type="cellIs" dxfId="284" priority="90" operator="equal">
      <formula>$M$1</formula>
    </cfRule>
  </conditionalFormatting>
  <conditionalFormatting sqref="C34 G34 K34 O34 S34 W34 AA34 AE34 AI34 AM34 AQ34 AU34">
    <cfRule type="cellIs" dxfId="283" priority="88" operator="equal">
      <formula>$AF$1</formula>
    </cfRule>
    <cfRule type="cellIs" dxfId="282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81" priority="85" operator="lessThan">
      <formula>0</formula>
    </cfRule>
    <cfRule type="cellIs" dxfId="280" priority="86" operator="greaterThanOrEqual">
      <formula>0</formula>
    </cfRule>
  </conditionalFormatting>
  <conditionalFormatting sqref="C38 AU42:AU43 AQ42 G38 K38 O38 S38 W38 AA38 AE38 AI38 AM38 AQ38 AU38">
    <cfRule type="cellIs" dxfId="279" priority="83" operator="lessThan">
      <formula>0</formula>
    </cfRule>
    <cfRule type="cellIs" dxfId="278" priority="84" operator="greaterThanOrEqual">
      <formula>0</formula>
    </cfRule>
  </conditionalFormatting>
  <conditionalFormatting sqref="D38">
    <cfRule type="cellIs" dxfId="277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76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75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74" priority="71" stopIfTrue="1" operator="between">
      <formula>0</formula>
      <formula>0.0416550925925926</formula>
    </cfRule>
    <cfRule type="cellIs" dxfId="273" priority="72" stopIfTrue="1" operator="between">
      <formula>0.0416666666666667</formula>
      <formula>0.0833217592592593</formula>
    </cfRule>
    <cfRule type="cellIs" dxfId="272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71" priority="59" operator="equal">
      <formula>MAX($D$36,$H$36,$L$36,$P$36,$T$36,$X$36,$AB$36,$AF$36,$AJ$36,$AN$36,$AR$36,$AV$36)</formula>
    </cfRule>
  </conditionalFormatting>
  <conditionalFormatting sqref="AP43">
    <cfRule type="cellIs" dxfId="270" priority="57" operator="lessThan">
      <formula>0</formula>
    </cfRule>
    <cfRule type="cellIs" dxfId="269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68" priority="80" stopIfTrue="1" operator="lessThan">
      <formula>50</formula>
    </cfRule>
    <cfRule type="cellIs" dxfId="267" priority="81" stopIfTrue="1" operator="greaterThanOrEqual">
      <formula>100</formula>
    </cfRule>
    <cfRule type="cellIs" dxfId="266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65" priority="77" stopIfTrue="1" operator="between">
      <formula>0</formula>
      <formula>749.99</formula>
    </cfRule>
    <cfRule type="cellIs" dxfId="264" priority="78" stopIfTrue="1" operator="greaterThanOrEqual">
      <formula>1500</formula>
    </cfRule>
    <cfRule type="cellIs" dxfId="263" priority="79" operator="greaterThanOrEqual">
      <formula>750</formula>
    </cfRule>
  </conditionalFormatting>
  <conditionalFormatting sqref="AQ43">
    <cfRule type="cellIs" dxfId="262" priority="55" stopIfTrue="1" operator="lessThan">
      <formula>0</formula>
    </cfRule>
    <cfRule type="cellIs" dxfId="261" priority="56" operator="greaterThanOrEqual">
      <formula>0</formula>
    </cfRule>
  </conditionalFormatting>
  <conditionalFormatting sqref="AL42">
    <cfRule type="cellIs" dxfId="260" priority="50" stopIfTrue="1" operator="lessThan">
      <formula>1000</formula>
    </cfRule>
    <cfRule type="cellIs" dxfId="259" priority="51" stopIfTrue="1" operator="lessThan">
      <formula>1100</formula>
    </cfRule>
    <cfRule type="cellIs" dxfId="258" priority="52" stopIfTrue="1" operator="lessThan">
      <formula>9999</formula>
    </cfRule>
  </conditionalFormatting>
  <conditionalFormatting sqref="AM42">
    <cfRule type="cellIs" dxfId="257" priority="47" stopIfTrue="1" operator="lessThan">
      <formula>10000</formula>
    </cfRule>
    <cfRule type="cellIs" dxfId="256" priority="48" stopIfTrue="1" operator="lessThan">
      <formula>13000</formula>
    </cfRule>
    <cfRule type="cellIs" dxfId="255" priority="49" stopIfTrue="1" operator="lessThan">
      <formula>99999</formula>
    </cfRule>
  </conditionalFormatting>
  <conditionalFormatting sqref="AL43">
    <cfRule type="cellIs" dxfId="254" priority="44" stopIfTrue="1" operator="lessThan">
      <formula>0.05</formula>
    </cfRule>
    <cfRule type="cellIs" dxfId="253" priority="45" stopIfTrue="1" operator="lessThan">
      <formula>0.1</formula>
    </cfRule>
    <cfRule type="cellIs" dxfId="252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7223.52</v>
      </c>
      <c r="C1" s="382"/>
      <c r="D1" s="83" t="s">
        <v>238</v>
      </c>
      <c r="E1" s="383">
        <f>AT35</f>
        <v>6735.92</v>
      </c>
      <c r="F1" s="383"/>
      <c r="G1" s="384" t="s">
        <v>152</v>
      </c>
      <c r="H1" s="384"/>
      <c r="I1" s="380">
        <f>MAX(B36,F36,J36,N36,R36,V36,Z36,AD36,AH36,AL36,AP36,AT36)</f>
        <v>91</v>
      </c>
      <c r="J1" s="380"/>
      <c r="K1" s="385" t="s">
        <v>159</v>
      </c>
      <c r="L1" s="385"/>
      <c r="M1" s="386">
        <f>MAX(B34,F34,J34,N34,R34,V34,Z34,AD34,AH34,AL34,AP34,AT34)</f>
        <v>716.66</v>
      </c>
      <c r="N1" s="386"/>
      <c r="O1" s="379" t="s">
        <v>190</v>
      </c>
      <c r="P1" s="379"/>
      <c r="Q1" s="379"/>
      <c r="R1" s="149">
        <f>MIN(B34,F34,J34,N34,R34,V34,Z34,AD34,AH34,AL34,AP34,AT34)</f>
        <v>244.28</v>
      </c>
      <c r="S1" s="84" t="s">
        <v>207</v>
      </c>
      <c r="T1" s="372">
        <f>IFERROR(AVERAGE(B37,F37,J37,N37,R37,V37,Z37,AD37,AH37,AL37,AP37,AT37),0)</f>
        <v>19.935633656925202</v>
      </c>
      <c r="U1" s="372"/>
      <c r="V1" s="394" t="s">
        <v>832</v>
      </c>
      <c r="W1" s="394"/>
      <c r="X1" s="394"/>
      <c r="Y1" s="394"/>
      <c r="Z1" s="394"/>
      <c r="AA1" s="85" t="s">
        <v>207</v>
      </c>
      <c r="AB1" s="381">
        <f>IFERROR(AVERAGE(C37,G37,K37,O37,S37,W37,AA37,AE37,AI37,AM37,AQ37,AU37),0)</f>
        <v>157.68830549968854</v>
      </c>
      <c r="AC1" s="381"/>
      <c r="AD1" s="371" t="s">
        <v>190</v>
      </c>
      <c r="AE1" s="371"/>
      <c r="AF1" s="374">
        <f>MIN(C34,G34,K34,O34,S34,W34,AA34,AE34,AI34,AM34,AQ34,AU34)</f>
        <v>1676</v>
      </c>
      <c r="AG1" s="374"/>
      <c r="AH1" s="375" t="s">
        <v>159</v>
      </c>
      <c r="AI1" s="375"/>
      <c r="AJ1" s="376">
        <f>MAX(C34,G34,K34,O34,S34,W34,AA34,AE34,AI34,AM34,AQ34,AU34)</f>
        <v>10132</v>
      </c>
      <c r="AK1" s="376"/>
      <c r="AL1" s="378" t="s">
        <v>153</v>
      </c>
      <c r="AM1" s="378"/>
      <c r="AN1" s="377">
        <f>MAX(C36,G36,K36,O36,S36,W36,AA36,AE36,AI36,AM36,AQ36,AU36)</f>
        <v>1965</v>
      </c>
      <c r="AO1" s="377"/>
      <c r="AP1" s="367" t="s">
        <v>361</v>
      </c>
      <c r="AQ1" s="367"/>
      <c r="AR1" s="368">
        <f>MAX(D36,H36,L36,P36,T36,X36,AB36,AF36,AJ36,AN36,AR36,AV36)</f>
        <v>6.9444444444444434E-2</v>
      </c>
      <c r="AS1" s="368"/>
      <c r="AT1" s="81" t="s">
        <v>2</v>
      </c>
      <c r="AU1" s="369">
        <f>AU35</f>
        <v>52549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11.4</v>
      </c>
      <c r="C3" s="55">
        <v>40</v>
      </c>
      <c r="D3" s="150">
        <v>1.0416666666666666E-2</v>
      </c>
      <c r="E3" s="75">
        <v>1</v>
      </c>
      <c r="F3" s="54">
        <v>10.6</v>
      </c>
      <c r="G3" s="55">
        <v>30</v>
      </c>
      <c r="H3" s="150"/>
      <c r="I3" s="75">
        <v>1</v>
      </c>
      <c r="J3" s="54">
        <v>15.53</v>
      </c>
      <c r="K3" s="55">
        <v>20</v>
      </c>
      <c r="L3" s="150"/>
      <c r="M3" s="75">
        <v>1</v>
      </c>
      <c r="N3" s="54">
        <v>18.5</v>
      </c>
      <c r="O3" s="55">
        <v>265</v>
      </c>
      <c r="P3" s="150"/>
      <c r="Q3" s="75">
        <v>1</v>
      </c>
      <c r="R3" s="54">
        <v>15.05</v>
      </c>
      <c r="S3" s="55">
        <v>58</v>
      </c>
      <c r="T3" s="150">
        <v>1.0416666666666666E-2</v>
      </c>
      <c r="U3" s="75">
        <v>1</v>
      </c>
      <c r="V3" s="54">
        <v>14.32</v>
      </c>
      <c r="W3" s="55">
        <v>65</v>
      </c>
      <c r="X3" s="150"/>
      <c r="Y3" s="75">
        <v>1</v>
      </c>
      <c r="Z3" s="54">
        <v>31</v>
      </c>
      <c r="AA3" s="55">
        <v>800</v>
      </c>
      <c r="AB3" s="150"/>
      <c r="AC3" s="75">
        <v>1</v>
      </c>
      <c r="AD3" s="54">
        <v>16.68</v>
      </c>
      <c r="AE3" s="55">
        <v>105</v>
      </c>
      <c r="AF3" s="150"/>
      <c r="AG3" s="75">
        <v>1</v>
      </c>
      <c r="AH3" s="54">
        <v>15.76</v>
      </c>
      <c r="AI3" s="55">
        <v>45</v>
      </c>
      <c r="AJ3" s="150"/>
      <c r="AK3" s="75">
        <v>1</v>
      </c>
      <c r="AL3" s="54">
        <v>15.64</v>
      </c>
      <c r="AM3" s="55">
        <v>90</v>
      </c>
      <c r="AN3" s="150">
        <v>1.0416666666666666E-2</v>
      </c>
      <c r="AO3" s="75">
        <v>1</v>
      </c>
      <c r="AP3" s="54">
        <v>10.66</v>
      </c>
      <c r="AQ3" s="55">
        <v>55</v>
      </c>
      <c r="AR3" s="150">
        <v>1.1805555555555555E-2</v>
      </c>
      <c r="AS3" s="75">
        <v>1</v>
      </c>
      <c r="AT3" s="54">
        <v>12.27</v>
      </c>
      <c r="AU3" s="55">
        <v>40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11.18</v>
      </c>
      <c r="C4" s="55">
        <v>10</v>
      </c>
      <c r="D4" s="150"/>
      <c r="E4" s="75">
        <f t="shared" ref="E4:E30" si="1">E3+1</f>
        <v>2</v>
      </c>
      <c r="F4" s="54">
        <v>11</v>
      </c>
      <c r="G4" s="55">
        <v>30</v>
      </c>
      <c r="H4" s="150"/>
      <c r="I4" s="75">
        <f t="shared" ref="I4:I33" si="2">I3+1</f>
        <v>2</v>
      </c>
      <c r="J4" s="54">
        <v>10.48</v>
      </c>
      <c r="K4" s="55">
        <v>15</v>
      </c>
      <c r="L4" s="150"/>
      <c r="M4" s="75">
        <f t="shared" ref="M4:M32" si="3">M3+1</f>
        <v>2</v>
      </c>
      <c r="N4" s="54">
        <v>5</v>
      </c>
      <c r="O4" s="55">
        <v>3</v>
      </c>
      <c r="P4" s="150"/>
      <c r="Q4" s="75">
        <f t="shared" ref="Q4:Q33" si="4">Q3+1</f>
        <v>2</v>
      </c>
      <c r="R4" s="54">
        <v>6.4</v>
      </c>
      <c r="S4" s="55">
        <v>10</v>
      </c>
      <c r="T4" s="150"/>
      <c r="U4" s="75">
        <f t="shared" ref="U4:U32" si="5">U3+1</f>
        <v>2</v>
      </c>
      <c r="V4" s="54">
        <v>12.79</v>
      </c>
      <c r="W4" s="55">
        <v>16</v>
      </c>
      <c r="X4" s="150"/>
      <c r="Y4" s="75">
        <f t="shared" ref="Y4:Y33" si="6">Y3+1</f>
        <v>2</v>
      </c>
      <c r="Z4" s="54">
        <v>17.329999999999998</v>
      </c>
      <c r="AA4" s="55">
        <v>125</v>
      </c>
      <c r="AB4" s="150"/>
      <c r="AC4" s="75">
        <f t="shared" ref="AC4:AC33" si="7">AC3+1</f>
        <v>2</v>
      </c>
      <c r="AD4" s="54">
        <v>17.03</v>
      </c>
      <c r="AE4" s="55">
        <v>40</v>
      </c>
      <c r="AF4" s="150"/>
      <c r="AG4" s="75">
        <f>AG3+1</f>
        <v>2</v>
      </c>
      <c r="AH4" s="54">
        <v>42.06</v>
      </c>
      <c r="AI4" s="55">
        <v>360</v>
      </c>
      <c r="AJ4" s="150"/>
      <c r="AK4" s="75">
        <f>AK3+1</f>
        <v>2</v>
      </c>
      <c r="AL4" s="54">
        <v>17.8</v>
      </c>
      <c r="AM4" s="55">
        <v>80</v>
      </c>
      <c r="AN4" s="150"/>
      <c r="AO4" s="75">
        <f>AO3+1</f>
        <v>2</v>
      </c>
      <c r="AP4" s="54">
        <v>10</v>
      </c>
      <c r="AQ4" s="55">
        <v>10</v>
      </c>
      <c r="AR4" s="150"/>
      <c r="AS4" s="75">
        <f>AS3+1</f>
        <v>2</v>
      </c>
      <c r="AT4" s="54">
        <v>22.85</v>
      </c>
      <c r="AU4" s="55">
        <v>40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11.1</v>
      </c>
      <c r="C5" s="55">
        <v>20</v>
      </c>
      <c r="D5" s="150"/>
      <c r="E5" s="75">
        <f t="shared" si="1"/>
        <v>3</v>
      </c>
      <c r="F5" s="54">
        <v>5</v>
      </c>
      <c r="G5" s="55">
        <v>3</v>
      </c>
      <c r="H5" s="150"/>
      <c r="I5" s="75">
        <f t="shared" si="2"/>
        <v>3</v>
      </c>
      <c r="J5" s="54">
        <v>24.66</v>
      </c>
      <c r="K5" s="55">
        <v>25</v>
      </c>
      <c r="L5" s="150"/>
      <c r="M5" s="75">
        <f t="shared" si="3"/>
        <v>3</v>
      </c>
      <c r="N5" s="54">
        <v>5.64</v>
      </c>
      <c r="O5" s="55">
        <v>7</v>
      </c>
      <c r="P5" s="150"/>
      <c r="Q5" s="75">
        <f t="shared" si="4"/>
        <v>3</v>
      </c>
      <c r="R5" s="54">
        <v>13.1</v>
      </c>
      <c r="S5" s="55">
        <v>21</v>
      </c>
      <c r="T5" s="150"/>
      <c r="U5" s="75">
        <f t="shared" si="5"/>
        <v>3</v>
      </c>
      <c r="V5" s="54">
        <v>24.240000000000002</v>
      </c>
      <c r="W5" s="55">
        <v>393</v>
      </c>
      <c r="X5" s="150"/>
      <c r="Y5" s="75">
        <f t="shared" si="6"/>
        <v>3</v>
      </c>
      <c r="Z5" s="54">
        <v>25.02</v>
      </c>
      <c r="AA5" s="55">
        <v>248</v>
      </c>
      <c r="AB5" s="150"/>
      <c r="AC5" s="75">
        <f t="shared" si="7"/>
        <v>3</v>
      </c>
      <c r="AD5" s="54">
        <v>6</v>
      </c>
      <c r="AE5" s="55">
        <v>3</v>
      </c>
      <c r="AF5" s="150"/>
      <c r="AG5" s="75">
        <f t="shared" ref="AG5:AG32" si="8">AG4+1</f>
        <v>3</v>
      </c>
      <c r="AH5" s="54">
        <v>29.72</v>
      </c>
      <c r="AI5" s="55">
        <v>501</v>
      </c>
      <c r="AJ5" s="150"/>
      <c r="AK5" s="75">
        <f t="shared" ref="AK5:AK33" si="9">AK4+1</f>
        <v>3</v>
      </c>
      <c r="AL5" s="54">
        <v>16.84</v>
      </c>
      <c r="AM5" s="55">
        <v>45</v>
      </c>
      <c r="AN5" s="150"/>
      <c r="AO5" s="75">
        <f t="shared" ref="AO5:AO32" si="10">AO4+1</f>
        <v>3</v>
      </c>
      <c r="AP5" s="54">
        <v>15.86</v>
      </c>
      <c r="AQ5" s="55">
        <v>30</v>
      </c>
      <c r="AR5" s="150"/>
      <c r="AS5" s="75">
        <f t="shared" ref="AS5:AS33" si="11">AS4+1</f>
        <v>3</v>
      </c>
      <c r="AT5" s="54">
        <v>11.66</v>
      </c>
      <c r="AU5" s="55">
        <v>10</v>
      </c>
      <c r="AV5" s="150">
        <v>1.0416666666666666E-2</v>
      </c>
      <c r="AW5" s="67"/>
    </row>
    <row r="6" spans="1:49" s="49" customFormat="1" ht="11.25" x14ac:dyDescent="0.2">
      <c r="A6" s="73">
        <f t="shared" si="0"/>
        <v>4</v>
      </c>
      <c r="B6" s="54">
        <v>5</v>
      </c>
      <c r="C6" s="55">
        <v>3</v>
      </c>
      <c r="D6" s="150"/>
      <c r="E6" s="75">
        <f t="shared" si="1"/>
        <v>4</v>
      </c>
      <c r="F6" s="54">
        <v>14.21</v>
      </c>
      <c r="G6" s="55">
        <v>66</v>
      </c>
      <c r="H6" s="150">
        <v>1.3888888888888888E-2</v>
      </c>
      <c r="I6" s="75">
        <f t="shared" si="2"/>
        <v>4</v>
      </c>
      <c r="J6" s="54">
        <v>25.92</v>
      </c>
      <c r="K6" s="55">
        <v>124</v>
      </c>
      <c r="L6" s="150">
        <v>1.3888888888888888E-2</v>
      </c>
      <c r="M6" s="75">
        <f t="shared" si="3"/>
        <v>4</v>
      </c>
      <c r="N6" s="54">
        <v>13.38</v>
      </c>
      <c r="O6" s="55">
        <v>30</v>
      </c>
      <c r="P6" s="150">
        <v>6.9444444444444441E-3</v>
      </c>
      <c r="Q6" s="75">
        <f t="shared" si="4"/>
        <v>4</v>
      </c>
      <c r="R6" s="54">
        <v>20.43</v>
      </c>
      <c r="S6" s="55">
        <v>40</v>
      </c>
      <c r="T6" s="150"/>
      <c r="U6" s="75">
        <f t="shared" si="5"/>
        <v>4</v>
      </c>
      <c r="V6" s="54">
        <v>37.729999999999997</v>
      </c>
      <c r="W6" s="55">
        <v>277</v>
      </c>
      <c r="X6" s="150"/>
      <c r="Y6" s="75">
        <f t="shared" si="6"/>
        <v>4</v>
      </c>
      <c r="Z6" s="54">
        <v>20.75</v>
      </c>
      <c r="AA6" s="55">
        <v>45</v>
      </c>
      <c r="AB6" s="150"/>
      <c r="AC6" s="75">
        <f t="shared" si="7"/>
        <v>4</v>
      </c>
      <c r="AD6" s="54">
        <v>5.43</v>
      </c>
      <c r="AE6" s="55">
        <v>3</v>
      </c>
      <c r="AF6" s="150"/>
      <c r="AG6" s="75">
        <f t="shared" si="8"/>
        <v>4</v>
      </c>
      <c r="AH6" s="54">
        <v>16.3</v>
      </c>
      <c r="AI6" s="55">
        <v>65</v>
      </c>
      <c r="AJ6" s="150"/>
      <c r="AK6" s="75">
        <f t="shared" si="9"/>
        <v>4</v>
      </c>
      <c r="AL6" s="54">
        <v>10.050000000000001</v>
      </c>
      <c r="AM6" s="55">
        <v>30</v>
      </c>
      <c r="AN6" s="150"/>
      <c r="AO6" s="75">
        <f t="shared" si="10"/>
        <v>4</v>
      </c>
      <c r="AP6" s="54">
        <v>21</v>
      </c>
      <c r="AQ6" s="55">
        <v>380</v>
      </c>
      <c r="AR6" s="150"/>
      <c r="AS6" s="75">
        <f t="shared" si="11"/>
        <v>4</v>
      </c>
      <c r="AT6" s="54">
        <v>24.6</v>
      </c>
      <c r="AU6" s="55">
        <v>135</v>
      </c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>
        <v>20.100000000000001</v>
      </c>
      <c r="G7" s="55">
        <v>170</v>
      </c>
      <c r="H7" s="150">
        <v>6.25E-2</v>
      </c>
      <c r="I7" s="75">
        <f t="shared" si="2"/>
        <v>5</v>
      </c>
      <c r="J7" s="54">
        <v>24.810000000000002</v>
      </c>
      <c r="K7" s="55">
        <v>105</v>
      </c>
      <c r="L7" s="150"/>
      <c r="M7" s="75">
        <f t="shared" si="3"/>
        <v>5</v>
      </c>
      <c r="N7" s="54">
        <v>16.88</v>
      </c>
      <c r="O7" s="55">
        <v>30</v>
      </c>
      <c r="P7" s="150"/>
      <c r="Q7" s="75">
        <f t="shared" si="4"/>
        <v>5</v>
      </c>
      <c r="R7" s="54">
        <v>16.23</v>
      </c>
      <c r="S7" s="55">
        <v>338</v>
      </c>
      <c r="T7" s="150"/>
      <c r="U7" s="75">
        <f t="shared" si="5"/>
        <v>5</v>
      </c>
      <c r="V7" s="54">
        <v>10.1</v>
      </c>
      <c r="W7" s="55">
        <v>306</v>
      </c>
      <c r="X7" s="150">
        <v>2.2222222222222223E-2</v>
      </c>
      <c r="Y7" s="75">
        <f t="shared" si="6"/>
        <v>5</v>
      </c>
      <c r="Z7" s="54">
        <v>21.5</v>
      </c>
      <c r="AA7" s="55">
        <v>40</v>
      </c>
      <c r="AB7" s="150"/>
      <c r="AC7" s="75">
        <f t="shared" si="7"/>
        <v>5</v>
      </c>
      <c r="AD7" s="54">
        <v>51.879999999999995</v>
      </c>
      <c r="AE7" s="55">
        <v>435</v>
      </c>
      <c r="AF7" s="150"/>
      <c r="AG7" s="75">
        <f t="shared" si="8"/>
        <v>5</v>
      </c>
      <c r="AH7" s="54">
        <v>10.130000000000001</v>
      </c>
      <c r="AI7" s="55">
        <v>10</v>
      </c>
      <c r="AJ7" s="150"/>
      <c r="AK7" s="75">
        <f t="shared" si="9"/>
        <v>5</v>
      </c>
      <c r="AL7" s="54">
        <v>10.1</v>
      </c>
      <c r="AM7" s="55">
        <v>15</v>
      </c>
      <c r="AN7" s="150"/>
      <c r="AO7" s="75">
        <f t="shared" si="10"/>
        <v>5</v>
      </c>
      <c r="AP7" s="54">
        <v>11.24</v>
      </c>
      <c r="AQ7" s="55">
        <v>10</v>
      </c>
      <c r="AR7" s="150">
        <v>1.0416666666666666E-2</v>
      </c>
      <c r="AS7" s="75">
        <f t="shared" si="11"/>
        <v>5</v>
      </c>
      <c r="AT7" s="54">
        <v>7.52</v>
      </c>
      <c r="AU7" s="55">
        <v>28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20.67</v>
      </c>
      <c r="C8" s="55">
        <v>45</v>
      </c>
      <c r="D8" s="150"/>
      <c r="E8" s="75">
        <f t="shared" si="1"/>
        <v>6</v>
      </c>
      <c r="F8" s="54">
        <v>13.64</v>
      </c>
      <c r="G8" s="55">
        <v>40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13.75</v>
      </c>
      <c r="O8" s="55">
        <v>140</v>
      </c>
      <c r="P8" s="150"/>
      <c r="Q8" s="75">
        <f t="shared" si="4"/>
        <v>6</v>
      </c>
      <c r="R8" s="54">
        <v>65.3</v>
      </c>
      <c r="S8" s="55">
        <v>577</v>
      </c>
      <c r="T8" s="150"/>
      <c r="U8" s="75">
        <f t="shared" si="5"/>
        <v>6</v>
      </c>
      <c r="V8" s="54">
        <v>5.13</v>
      </c>
      <c r="W8" s="55">
        <v>3</v>
      </c>
      <c r="X8" s="150"/>
      <c r="Y8" s="75">
        <f t="shared" si="6"/>
        <v>6</v>
      </c>
      <c r="Z8" s="54">
        <v>22.73</v>
      </c>
      <c r="AA8" s="55">
        <v>172</v>
      </c>
      <c r="AB8" s="150"/>
      <c r="AC8" s="75">
        <f t="shared" si="7"/>
        <v>6</v>
      </c>
      <c r="AD8" s="54">
        <v>63.9</v>
      </c>
      <c r="AE8" s="55">
        <v>1075</v>
      </c>
      <c r="AF8" s="150">
        <v>2.7777777777777776E-2</v>
      </c>
      <c r="AG8" s="75">
        <f t="shared" si="8"/>
        <v>6</v>
      </c>
      <c r="AH8" s="54">
        <v>12.24</v>
      </c>
      <c r="AI8" s="55">
        <v>25</v>
      </c>
      <c r="AJ8" s="150"/>
      <c r="AK8" s="75">
        <f t="shared" si="9"/>
        <v>6</v>
      </c>
      <c r="AL8" s="54">
        <v>13.81</v>
      </c>
      <c r="AM8" s="55">
        <v>60</v>
      </c>
      <c r="AN8" s="150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50"/>
      <c r="AS8" s="75">
        <f t="shared" si="11"/>
        <v>6</v>
      </c>
      <c r="AT8" s="54">
        <v>7.6</v>
      </c>
      <c r="AU8" s="55">
        <v>10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12.8</v>
      </c>
      <c r="G9" s="55">
        <v>67</v>
      </c>
      <c r="H9" s="150"/>
      <c r="I9" s="75">
        <f t="shared" si="2"/>
        <v>7</v>
      </c>
      <c r="J9" s="54">
        <v>10.5</v>
      </c>
      <c r="K9" s="55">
        <v>30</v>
      </c>
      <c r="L9" s="150"/>
      <c r="M9" s="75">
        <f t="shared" si="3"/>
        <v>7</v>
      </c>
      <c r="N9" s="54">
        <v>16.23</v>
      </c>
      <c r="O9" s="55">
        <v>338</v>
      </c>
      <c r="P9" s="150"/>
      <c r="Q9" s="75">
        <f t="shared" si="4"/>
        <v>7</v>
      </c>
      <c r="R9" s="54">
        <v>14.91</v>
      </c>
      <c r="S9" s="55">
        <v>80</v>
      </c>
      <c r="T9" s="150">
        <v>1.0416666666666666E-2</v>
      </c>
      <c r="U9" s="75">
        <f t="shared" si="5"/>
        <v>7</v>
      </c>
      <c r="V9" s="54">
        <v>13.34</v>
      </c>
      <c r="W9" s="55">
        <v>30</v>
      </c>
      <c r="X9" s="150">
        <v>2.2222222222222223E-2</v>
      </c>
      <c r="Y9" s="75">
        <f t="shared" si="6"/>
        <v>7</v>
      </c>
      <c r="Z9" s="54">
        <v>22</v>
      </c>
      <c r="AA9" s="55">
        <v>35</v>
      </c>
      <c r="AB9" s="150"/>
      <c r="AC9" s="75">
        <f t="shared" si="7"/>
        <v>7</v>
      </c>
      <c r="AD9" s="54">
        <v>11</v>
      </c>
      <c r="AE9" s="55">
        <v>50</v>
      </c>
      <c r="AF9" s="150"/>
      <c r="AG9" s="75">
        <f t="shared" si="8"/>
        <v>7</v>
      </c>
      <c r="AH9" s="54">
        <v>12.87</v>
      </c>
      <c r="AI9" s="55">
        <v>70</v>
      </c>
      <c r="AJ9" s="150"/>
      <c r="AK9" s="75">
        <f t="shared" si="9"/>
        <v>7</v>
      </c>
      <c r="AL9" s="54">
        <v>44.260000000000005</v>
      </c>
      <c r="AM9" s="55">
        <v>465</v>
      </c>
      <c r="AN9" s="150"/>
      <c r="AO9" s="75">
        <f t="shared" si="10"/>
        <v>7</v>
      </c>
      <c r="AP9" s="54">
        <v>10</v>
      </c>
      <c r="AQ9" s="55">
        <v>30</v>
      </c>
      <c r="AR9" s="150"/>
      <c r="AS9" s="75">
        <f t="shared" si="11"/>
        <v>7</v>
      </c>
      <c r="AT9" s="54">
        <v>21.3</v>
      </c>
      <c r="AU9" s="55">
        <v>280</v>
      </c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17.29</v>
      </c>
      <c r="G10" s="55">
        <v>100</v>
      </c>
      <c r="H10" s="150"/>
      <c r="I10" s="75">
        <f t="shared" si="2"/>
        <v>8</v>
      </c>
      <c r="J10" s="54"/>
      <c r="K10" s="55"/>
      <c r="L10" s="150"/>
      <c r="M10" s="75">
        <f t="shared" si="3"/>
        <v>8</v>
      </c>
      <c r="N10" s="54">
        <v>24.66</v>
      </c>
      <c r="O10" s="55">
        <v>25</v>
      </c>
      <c r="P10" s="150"/>
      <c r="Q10" s="75">
        <f t="shared" si="4"/>
        <v>8</v>
      </c>
      <c r="R10" s="54">
        <v>10.050000000000001</v>
      </c>
      <c r="S10" s="55">
        <v>45</v>
      </c>
      <c r="T10" s="150"/>
      <c r="U10" s="75">
        <f t="shared" si="5"/>
        <v>8</v>
      </c>
      <c r="V10" s="54">
        <v>10.66</v>
      </c>
      <c r="W10" s="55">
        <v>10</v>
      </c>
      <c r="X10" s="150"/>
      <c r="Y10" s="75">
        <f t="shared" si="6"/>
        <v>8</v>
      </c>
      <c r="Z10" s="54">
        <v>54.36999999999999</v>
      </c>
      <c r="AA10" s="55">
        <v>600</v>
      </c>
      <c r="AB10" s="150"/>
      <c r="AC10" s="75">
        <f t="shared" si="7"/>
        <v>8</v>
      </c>
      <c r="AD10" s="54">
        <v>12.81</v>
      </c>
      <c r="AE10" s="55">
        <v>40</v>
      </c>
      <c r="AF10" s="150"/>
      <c r="AG10" s="75">
        <f t="shared" si="8"/>
        <v>8</v>
      </c>
      <c r="AH10" s="54">
        <v>14.63</v>
      </c>
      <c r="AI10" s="49">
        <v>30</v>
      </c>
      <c r="AJ10" s="150"/>
      <c r="AK10" s="75">
        <f t="shared" si="9"/>
        <v>8</v>
      </c>
      <c r="AL10" s="54">
        <v>52.48</v>
      </c>
      <c r="AM10" s="55">
        <v>85</v>
      </c>
      <c r="AN10" s="150"/>
      <c r="AO10" s="75">
        <f t="shared" si="10"/>
        <v>8</v>
      </c>
      <c r="AP10" s="54">
        <v>22.42</v>
      </c>
      <c r="AQ10" s="55">
        <v>40</v>
      </c>
      <c r="AR10" s="150"/>
      <c r="AS10" s="75">
        <f t="shared" si="11"/>
        <v>8</v>
      </c>
      <c r="AT10" s="54">
        <v>11.75</v>
      </c>
      <c r="AU10" s="55">
        <v>40</v>
      </c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>
        <v>20.16</v>
      </c>
      <c r="G11" s="55">
        <v>30</v>
      </c>
      <c r="H11" s="150"/>
      <c r="I11" s="75">
        <f t="shared" si="2"/>
        <v>9</v>
      </c>
      <c r="J11" s="54">
        <v>17.82</v>
      </c>
      <c r="K11" s="55">
        <v>20</v>
      </c>
      <c r="L11" s="150"/>
      <c r="M11" s="75">
        <f t="shared" si="3"/>
        <v>9</v>
      </c>
      <c r="N11" s="54">
        <v>21.05</v>
      </c>
      <c r="O11" s="55">
        <v>215</v>
      </c>
      <c r="P11" s="150">
        <v>1.7361111111111112E-2</v>
      </c>
      <c r="Q11" s="75">
        <f t="shared" si="4"/>
        <v>9</v>
      </c>
      <c r="R11" s="54">
        <v>11.08</v>
      </c>
      <c r="S11" s="55">
        <v>50</v>
      </c>
      <c r="T11" s="150"/>
      <c r="U11" s="75">
        <f t="shared" si="5"/>
        <v>9</v>
      </c>
      <c r="V11" s="54">
        <v>17.96</v>
      </c>
      <c r="W11" s="55">
        <v>60</v>
      </c>
      <c r="X11" s="150">
        <v>2.4305555555555556E-2</v>
      </c>
      <c r="Y11" s="75">
        <f t="shared" si="6"/>
        <v>9</v>
      </c>
      <c r="Z11" s="54">
        <v>26.65</v>
      </c>
      <c r="AA11" s="55">
        <v>220</v>
      </c>
      <c r="AB11" s="150"/>
      <c r="AC11" s="75">
        <f t="shared" si="7"/>
        <v>9</v>
      </c>
      <c r="AD11" s="54">
        <v>12.07</v>
      </c>
      <c r="AE11" s="55">
        <v>45</v>
      </c>
      <c r="AF11" s="150"/>
      <c r="AG11" s="75">
        <f t="shared" si="8"/>
        <v>9</v>
      </c>
      <c r="AH11" s="54">
        <v>30</v>
      </c>
      <c r="AI11" s="55">
        <v>28</v>
      </c>
      <c r="AJ11" s="150"/>
      <c r="AK11" s="75">
        <f t="shared" si="9"/>
        <v>9</v>
      </c>
      <c r="AL11" s="54">
        <v>11.11</v>
      </c>
      <c r="AM11" s="55">
        <v>25</v>
      </c>
      <c r="AN11" s="150"/>
      <c r="AO11" s="75">
        <f t="shared" si="10"/>
        <v>9</v>
      </c>
      <c r="AP11" s="54">
        <v>10.48</v>
      </c>
      <c r="AQ11" s="55">
        <v>30</v>
      </c>
      <c r="AR11" s="150"/>
      <c r="AS11" s="75">
        <f t="shared" si="11"/>
        <v>9</v>
      </c>
      <c r="AT11" s="54">
        <v>30.4</v>
      </c>
      <c r="AU11" s="55">
        <v>50</v>
      </c>
      <c r="AV11" s="150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50"/>
      <c r="E12" s="75">
        <f t="shared" si="1"/>
        <v>10</v>
      </c>
      <c r="F12" s="54">
        <v>10.11</v>
      </c>
      <c r="G12" s="55">
        <v>20</v>
      </c>
      <c r="H12" s="150"/>
      <c r="I12" s="75">
        <f t="shared" si="2"/>
        <v>10</v>
      </c>
      <c r="J12" s="54">
        <v>14.089999999999998</v>
      </c>
      <c r="K12" s="55">
        <v>347</v>
      </c>
      <c r="L12" s="150"/>
      <c r="M12" s="75">
        <f t="shared" si="3"/>
        <v>10</v>
      </c>
      <c r="N12" s="54">
        <v>14.219999999999999</v>
      </c>
      <c r="O12" s="55">
        <v>90</v>
      </c>
      <c r="P12" s="150"/>
      <c r="Q12" s="75">
        <f t="shared" si="4"/>
        <v>10</v>
      </c>
      <c r="R12" s="54">
        <v>29.11</v>
      </c>
      <c r="S12" s="55">
        <v>170</v>
      </c>
      <c r="T12" s="150"/>
      <c r="U12" s="75">
        <f t="shared" si="5"/>
        <v>10</v>
      </c>
      <c r="V12" s="54">
        <v>38.730000000000004</v>
      </c>
      <c r="W12" s="55">
        <v>490</v>
      </c>
      <c r="X12" s="150"/>
      <c r="Y12" s="75">
        <f t="shared" si="6"/>
        <v>10</v>
      </c>
      <c r="Z12" s="54">
        <v>10.039999999999999</v>
      </c>
      <c r="AA12" s="55">
        <v>35</v>
      </c>
      <c r="AB12" s="150"/>
      <c r="AC12" s="75">
        <f t="shared" si="7"/>
        <v>10</v>
      </c>
      <c r="AD12" s="54">
        <v>5.2</v>
      </c>
      <c r="AE12" s="55">
        <v>20</v>
      </c>
      <c r="AF12" s="150"/>
      <c r="AG12" s="75">
        <f t="shared" si="8"/>
        <v>10</v>
      </c>
      <c r="AH12" s="54">
        <v>15.7</v>
      </c>
      <c r="AI12" s="49">
        <v>90</v>
      </c>
      <c r="AJ12" s="150">
        <v>1.3888888888888888E-2</v>
      </c>
      <c r="AK12" s="75">
        <f t="shared" si="9"/>
        <v>10</v>
      </c>
      <c r="AL12" s="54">
        <v>11</v>
      </c>
      <c r="AM12" s="55">
        <v>30</v>
      </c>
      <c r="AN12" s="150"/>
      <c r="AO12" s="75">
        <f t="shared" si="10"/>
        <v>10</v>
      </c>
      <c r="AP12" s="54">
        <v>14.53</v>
      </c>
      <c r="AQ12" s="55">
        <v>15</v>
      </c>
      <c r="AR12" s="150"/>
      <c r="AS12" s="75">
        <f t="shared" si="11"/>
        <v>10</v>
      </c>
      <c r="AT12" s="54">
        <v>10.45</v>
      </c>
      <c r="AU12" s="55">
        <v>6</v>
      </c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>
        <v>20.329999999999998</v>
      </c>
      <c r="G13" s="55">
        <v>333</v>
      </c>
      <c r="H13" s="150">
        <v>3.125E-2</v>
      </c>
      <c r="I13" s="75">
        <f t="shared" si="2"/>
        <v>11</v>
      </c>
      <c r="J13" s="54">
        <v>68.069999999999993</v>
      </c>
      <c r="K13" s="55">
        <v>213</v>
      </c>
      <c r="L13" s="150"/>
      <c r="M13" s="75">
        <f t="shared" si="3"/>
        <v>11</v>
      </c>
      <c r="N13" s="54">
        <v>13.75</v>
      </c>
      <c r="O13" s="55">
        <v>140</v>
      </c>
      <c r="P13" s="150"/>
      <c r="Q13" s="75">
        <f t="shared" si="4"/>
        <v>11</v>
      </c>
      <c r="R13" s="54">
        <v>11.35</v>
      </c>
      <c r="S13" s="55">
        <v>35</v>
      </c>
      <c r="T13" s="150">
        <v>1.0416666666666666E-2</v>
      </c>
      <c r="U13" s="75">
        <f t="shared" si="5"/>
        <v>11</v>
      </c>
      <c r="V13" s="54">
        <v>91</v>
      </c>
      <c r="W13" s="55">
        <v>1065</v>
      </c>
      <c r="X13" s="150"/>
      <c r="Y13" s="75">
        <f t="shared" si="6"/>
        <v>11</v>
      </c>
      <c r="Z13" s="54">
        <v>10.57</v>
      </c>
      <c r="AA13" s="55">
        <v>25</v>
      </c>
      <c r="AB13" s="150"/>
      <c r="AC13" s="75">
        <f t="shared" si="7"/>
        <v>11</v>
      </c>
      <c r="AD13" s="54">
        <v>5</v>
      </c>
      <c r="AE13" s="55">
        <v>3</v>
      </c>
      <c r="AF13" s="150">
        <v>2.4305555555555556E-2</v>
      </c>
      <c r="AG13" s="75">
        <f t="shared" si="8"/>
        <v>11</v>
      </c>
      <c r="AH13" s="54">
        <v>11.5</v>
      </c>
      <c r="AI13" s="55">
        <v>15</v>
      </c>
      <c r="AJ13" s="150"/>
      <c r="AK13" s="75">
        <f t="shared" si="9"/>
        <v>11</v>
      </c>
      <c r="AL13" s="54">
        <v>14.219999999999999</v>
      </c>
      <c r="AM13" s="55">
        <v>90</v>
      </c>
      <c r="AN13" s="150"/>
      <c r="AO13" s="75">
        <f t="shared" si="10"/>
        <v>11</v>
      </c>
      <c r="AP13" s="54">
        <v>28.560000000000002</v>
      </c>
      <c r="AQ13" s="55">
        <v>396</v>
      </c>
      <c r="AR13" s="150"/>
      <c r="AS13" s="75">
        <f t="shared" si="11"/>
        <v>11</v>
      </c>
      <c r="AT13" s="54">
        <v>6</v>
      </c>
      <c r="AU13" s="55">
        <v>3</v>
      </c>
      <c r="AV13" s="150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>
        <v>61.1</v>
      </c>
      <c r="G14" s="55">
        <v>540</v>
      </c>
      <c r="H14" s="150"/>
      <c r="I14" s="75">
        <f t="shared" si="2"/>
        <v>12</v>
      </c>
      <c r="J14" s="54">
        <v>39.249999999999993</v>
      </c>
      <c r="K14" s="55">
        <v>803</v>
      </c>
      <c r="L14" s="150"/>
      <c r="M14" s="75">
        <f t="shared" si="3"/>
        <v>12</v>
      </c>
      <c r="N14" s="54"/>
      <c r="O14" s="55"/>
      <c r="P14" s="150">
        <v>1.0416666666666666E-2</v>
      </c>
      <c r="Q14" s="75">
        <f t="shared" si="4"/>
        <v>12</v>
      </c>
      <c r="R14" s="54">
        <v>13.32</v>
      </c>
      <c r="S14" s="55">
        <v>80</v>
      </c>
      <c r="T14" s="150"/>
      <c r="U14" s="75">
        <f t="shared" si="5"/>
        <v>12</v>
      </c>
      <c r="V14" s="54">
        <v>10.19</v>
      </c>
      <c r="W14" s="55">
        <v>25</v>
      </c>
      <c r="X14" s="150"/>
      <c r="Y14" s="75">
        <f t="shared" si="6"/>
        <v>12</v>
      </c>
      <c r="Z14" s="54">
        <v>5.7</v>
      </c>
      <c r="AA14" s="55">
        <v>3</v>
      </c>
      <c r="AB14" s="150"/>
      <c r="AC14" s="75">
        <f t="shared" si="7"/>
        <v>12</v>
      </c>
      <c r="AD14" s="54">
        <v>20.09</v>
      </c>
      <c r="AE14" s="78">
        <v>70</v>
      </c>
      <c r="AF14" s="150"/>
      <c r="AG14" s="75">
        <f t="shared" si="8"/>
        <v>12</v>
      </c>
      <c r="AH14" s="54"/>
      <c r="AI14" s="55"/>
      <c r="AJ14" s="150"/>
      <c r="AK14" s="75">
        <f t="shared" si="9"/>
        <v>12</v>
      </c>
      <c r="AL14" s="54">
        <v>20.399999999999999</v>
      </c>
      <c r="AM14" s="55">
        <v>30</v>
      </c>
      <c r="AN14" s="150"/>
      <c r="AO14" s="75">
        <f t="shared" si="10"/>
        <v>12</v>
      </c>
      <c r="AP14" s="54">
        <v>14.19</v>
      </c>
      <c r="AQ14" s="55">
        <v>15</v>
      </c>
      <c r="AR14" s="150">
        <v>4.8611111111111112E-2</v>
      </c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15.4</v>
      </c>
      <c r="G15" s="55">
        <v>40</v>
      </c>
      <c r="H15" s="150"/>
      <c r="I15" s="75">
        <f t="shared" si="2"/>
        <v>13</v>
      </c>
      <c r="J15" s="54">
        <v>11.25</v>
      </c>
      <c r="K15" s="55">
        <v>100</v>
      </c>
      <c r="L15" s="150"/>
      <c r="M15" s="75">
        <f t="shared" si="3"/>
        <v>13</v>
      </c>
      <c r="N15" s="54">
        <v>10.84</v>
      </c>
      <c r="O15" s="55">
        <v>15</v>
      </c>
      <c r="P15" s="150"/>
      <c r="Q15" s="75">
        <f t="shared" si="4"/>
        <v>13</v>
      </c>
      <c r="R15" s="54">
        <v>66.210000000000008</v>
      </c>
      <c r="S15" s="55">
        <v>750</v>
      </c>
      <c r="T15" s="150"/>
      <c r="U15" s="75">
        <f t="shared" si="5"/>
        <v>13</v>
      </c>
      <c r="V15" s="54">
        <v>28.19</v>
      </c>
      <c r="W15" s="55">
        <v>185</v>
      </c>
      <c r="X15" s="150"/>
      <c r="Y15" s="75">
        <f t="shared" si="6"/>
        <v>13</v>
      </c>
      <c r="Z15" s="54">
        <v>37.79</v>
      </c>
      <c r="AA15" s="55">
        <v>65</v>
      </c>
      <c r="AB15" s="150"/>
      <c r="AC15" s="75">
        <f t="shared" si="7"/>
        <v>13</v>
      </c>
      <c r="AD15" s="54">
        <v>41.05</v>
      </c>
      <c r="AE15" s="55">
        <v>185</v>
      </c>
      <c r="AF15" s="150"/>
      <c r="AG15" s="75">
        <f t="shared" si="8"/>
        <v>13</v>
      </c>
      <c r="AH15" s="54">
        <v>10.17</v>
      </c>
      <c r="AI15" s="55">
        <v>15</v>
      </c>
      <c r="AJ15" s="150"/>
      <c r="AK15" s="75">
        <f t="shared" si="9"/>
        <v>13</v>
      </c>
      <c r="AL15" s="54">
        <v>12</v>
      </c>
      <c r="AM15" s="55">
        <v>30</v>
      </c>
      <c r="AN15" s="150"/>
      <c r="AO15" s="75">
        <f t="shared" si="10"/>
        <v>13</v>
      </c>
      <c r="AP15" s="54">
        <v>14.02</v>
      </c>
      <c r="AQ15" s="55">
        <v>55</v>
      </c>
      <c r="AR15" s="150"/>
      <c r="AS15" s="75">
        <f t="shared" si="11"/>
        <v>13</v>
      </c>
      <c r="AT15" s="54">
        <v>10.3</v>
      </c>
      <c r="AU15" s="55">
        <v>50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23</v>
      </c>
      <c r="G16" s="55">
        <v>120</v>
      </c>
      <c r="H16" s="150"/>
      <c r="I16" s="75">
        <f t="shared" si="2"/>
        <v>14</v>
      </c>
      <c r="J16" s="54">
        <v>40.69</v>
      </c>
      <c r="K16" s="55">
        <v>220</v>
      </c>
      <c r="L16" s="150"/>
      <c r="M16" s="75">
        <f t="shared" si="3"/>
        <v>14</v>
      </c>
      <c r="N16" s="54">
        <v>56.289999999999992</v>
      </c>
      <c r="O16" s="55">
        <v>839</v>
      </c>
      <c r="P16" s="150"/>
      <c r="Q16" s="75">
        <f t="shared" si="4"/>
        <v>14</v>
      </c>
      <c r="R16" s="54">
        <v>19.010000000000002</v>
      </c>
      <c r="S16" s="49">
        <v>110</v>
      </c>
      <c r="T16" s="150">
        <v>2.5694444444444447E-2</v>
      </c>
      <c r="U16" s="75">
        <f t="shared" si="5"/>
        <v>14</v>
      </c>
      <c r="V16" s="54">
        <v>10.33</v>
      </c>
      <c r="W16" s="55">
        <v>35</v>
      </c>
      <c r="X16" s="150"/>
      <c r="Y16" s="75">
        <f t="shared" si="6"/>
        <v>14</v>
      </c>
      <c r="Z16" s="54">
        <v>12</v>
      </c>
      <c r="AA16" s="55">
        <v>30</v>
      </c>
      <c r="AB16" s="150"/>
      <c r="AC16" s="75">
        <f t="shared" si="7"/>
        <v>14</v>
      </c>
      <c r="AD16" s="54">
        <v>11.79</v>
      </c>
      <c r="AE16" s="55">
        <v>20</v>
      </c>
      <c r="AF16" s="150"/>
      <c r="AG16" s="75">
        <f t="shared" si="8"/>
        <v>14</v>
      </c>
      <c r="AH16" s="54">
        <v>10.53</v>
      </c>
      <c r="AI16" s="55">
        <v>35</v>
      </c>
      <c r="AJ16" s="150"/>
      <c r="AK16" s="75">
        <f t="shared" si="9"/>
        <v>14</v>
      </c>
      <c r="AL16" s="54">
        <v>36.1</v>
      </c>
      <c r="AM16" s="55">
        <v>50</v>
      </c>
      <c r="AN16" s="150"/>
      <c r="AO16" s="75">
        <f t="shared" si="10"/>
        <v>14</v>
      </c>
      <c r="AP16" s="54">
        <v>7</v>
      </c>
      <c r="AQ16" s="55">
        <v>3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10.8</v>
      </c>
      <c r="C17" s="55">
        <v>90</v>
      </c>
      <c r="D17" s="150"/>
      <c r="E17" s="75">
        <f t="shared" si="1"/>
        <v>15</v>
      </c>
      <c r="F17" s="54">
        <v>27.67</v>
      </c>
      <c r="G17" s="55">
        <v>263</v>
      </c>
      <c r="H17" s="150"/>
      <c r="I17" s="75">
        <f t="shared" si="2"/>
        <v>15</v>
      </c>
      <c r="J17" s="54">
        <v>5.09</v>
      </c>
      <c r="K17" s="55">
        <v>3</v>
      </c>
      <c r="L17" s="150"/>
      <c r="M17" s="75">
        <f t="shared" si="3"/>
        <v>15</v>
      </c>
      <c r="N17" s="54">
        <v>7</v>
      </c>
      <c r="O17" s="55">
        <v>10</v>
      </c>
      <c r="P17" s="150"/>
      <c r="Q17" s="75">
        <f t="shared" si="4"/>
        <v>15</v>
      </c>
      <c r="R17" s="54">
        <v>11.61</v>
      </c>
      <c r="S17" s="49">
        <v>40</v>
      </c>
      <c r="T17" s="150"/>
      <c r="U17" s="75">
        <f t="shared" si="5"/>
        <v>15</v>
      </c>
      <c r="V17" s="54">
        <v>10.31</v>
      </c>
      <c r="W17" s="55">
        <v>45</v>
      </c>
      <c r="X17" s="150"/>
      <c r="Y17" s="75">
        <f t="shared" si="6"/>
        <v>15</v>
      </c>
      <c r="Z17" s="54">
        <v>23.39</v>
      </c>
      <c r="AA17" s="55">
        <v>217</v>
      </c>
      <c r="AB17" s="150">
        <v>1.0416666666666666E-2</v>
      </c>
      <c r="AC17" s="75">
        <f t="shared" si="7"/>
        <v>15</v>
      </c>
      <c r="AD17" s="54">
        <v>53.08</v>
      </c>
      <c r="AE17" s="55">
        <v>580</v>
      </c>
      <c r="AF17" s="150"/>
      <c r="AG17" s="75">
        <f t="shared" si="8"/>
        <v>15</v>
      </c>
      <c r="AH17" s="54">
        <v>10</v>
      </c>
      <c r="AI17" s="55">
        <v>40</v>
      </c>
      <c r="AJ17" s="150"/>
      <c r="AK17" s="75">
        <f t="shared" si="9"/>
        <v>15</v>
      </c>
      <c r="AL17" s="54">
        <v>11</v>
      </c>
      <c r="AM17" s="55">
        <v>45</v>
      </c>
      <c r="AN17" s="150"/>
      <c r="AO17" s="75">
        <f t="shared" si="10"/>
        <v>15</v>
      </c>
      <c r="AP17" s="54">
        <v>11.6</v>
      </c>
      <c r="AQ17" s="55">
        <v>45</v>
      </c>
      <c r="AR17" s="150"/>
      <c r="AS17" s="75">
        <f t="shared" si="11"/>
        <v>15</v>
      </c>
      <c r="AT17" s="54">
        <v>10.16</v>
      </c>
      <c r="AU17" s="55">
        <v>45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11</v>
      </c>
      <c r="C18" s="55">
        <v>10</v>
      </c>
      <c r="D18" s="150"/>
      <c r="E18" s="75">
        <f t="shared" si="1"/>
        <v>16</v>
      </c>
      <c r="F18" s="54">
        <v>10.029999999999999</v>
      </c>
      <c r="G18" s="55">
        <v>75</v>
      </c>
      <c r="H18" s="150"/>
      <c r="I18" s="75">
        <f t="shared" si="2"/>
        <v>16</v>
      </c>
      <c r="J18" s="54">
        <v>11.4</v>
      </c>
      <c r="K18" s="55">
        <v>40</v>
      </c>
      <c r="L18" s="150"/>
      <c r="M18" s="75">
        <f t="shared" si="3"/>
        <v>16</v>
      </c>
      <c r="N18" s="54">
        <v>16</v>
      </c>
      <c r="O18" s="55">
        <v>40</v>
      </c>
      <c r="P18" s="150"/>
      <c r="Q18" s="75">
        <f t="shared" si="4"/>
        <v>16</v>
      </c>
      <c r="R18" s="54">
        <v>13.42</v>
      </c>
      <c r="S18" s="55">
        <v>29</v>
      </c>
      <c r="T18" s="150"/>
      <c r="U18" s="75">
        <f t="shared" si="5"/>
        <v>16</v>
      </c>
      <c r="V18" s="54">
        <v>20.149999999999999</v>
      </c>
      <c r="W18" s="55">
        <v>70</v>
      </c>
      <c r="X18" s="150"/>
      <c r="Y18" s="75">
        <f t="shared" si="6"/>
        <v>16</v>
      </c>
      <c r="Z18" s="54">
        <v>63.59</v>
      </c>
      <c r="AA18" s="55">
        <v>420</v>
      </c>
      <c r="AB18" s="150"/>
      <c r="AC18" s="75">
        <f t="shared" si="7"/>
        <v>16</v>
      </c>
      <c r="AD18" s="54">
        <v>13.24</v>
      </c>
      <c r="AE18" s="55">
        <v>195</v>
      </c>
      <c r="AF18" s="150"/>
      <c r="AG18" s="75">
        <f t="shared" si="8"/>
        <v>16</v>
      </c>
      <c r="AH18" s="54">
        <v>33.03</v>
      </c>
      <c r="AI18" s="55">
        <v>93</v>
      </c>
      <c r="AJ18" s="150"/>
      <c r="AK18" s="75">
        <f t="shared" si="9"/>
        <v>16</v>
      </c>
      <c r="AL18" s="54">
        <v>21.26</v>
      </c>
      <c r="AM18" s="55">
        <v>30</v>
      </c>
      <c r="AN18" s="150"/>
      <c r="AO18" s="75">
        <f t="shared" si="10"/>
        <v>16</v>
      </c>
      <c r="AP18" s="54">
        <v>10.18</v>
      </c>
      <c r="AQ18" s="55">
        <v>30</v>
      </c>
      <c r="AR18" s="150"/>
      <c r="AS18" s="75">
        <f t="shared" si="11"/>
        <v>16</v>
      </c>
      <c r="AT18" s="54">
        <v>16.309999999999999</v>
      </c>
      <c r="AU18" s="55">
        <v>70</v>
      </c>
      <c r="AV18" s="150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10.050000000000001</v>
      </c>
      <c r="C19" s="55">
        <v>45</v>
      </c>
      <c r="D19" s="150"/>
      <c r="E19" s="75">
        <f t="shared" si="1"/>
        <v>17</v>
      </c>
      <c r="F19" s="54"/>
      <c r="G19" s="55"/>
      <c r="H19" s="150"/>
      <c r="I19" s="75">
        <f t="shared" si="2"/>
        <v>17</v>
      </c>
      <c r="J19" s="54">
        <v>10.93</v>
      </c>
      <c r="K19" s="55">
        <v>15</v>
      </c>
      <c r="L19" s="150"/>
      <c r="M19" s="75">
        <f t="shared" si="3"/>
        <v>17</v>
      </c>
      <c r="N19" s="54">
        <v>11.12</v>
      </c>
      <c r="O19" s="55">
        <v>6</v>
      </c>
      <c r="P19" s="150"/>
      <c r="Q19" s="75">
        <f t="shared" si="4"/>
        <v>17</v>
      </c>
      <c r="R19" s="54">
        <v>17.8</v>
      </c>
      <c r="S19" s="55">
        <v>367</v>
      </c>
      <c r="T19" s="150"/>
      <c r="U19" s="75">
        <f t="shared" si="5"/>
        <v>17</v>
      </c>
      <c r="V19" s="54">
        <v>14.64</v>
      </c>
      <c r="W19" s="55">
        <v>55</v>
      </c>
      <c r="X19" s="150"/>
      <c r="Y19" s="75">
        <f t="shared" si="6"/>
        <v>17</v>
      </c>
      <c r="Z19" s="54">
        <v>13.72</v>
      </c>
      <c r="AA19" s="55">
        <v>55</v>
      </c>
      <c r="AB19" s="150"/>
      <c r="AC19" s="75">
        <f t="shared" si="7"/>
        <v>17</v>
      </c>
      <c r="AD19" s="54">
        <v>14.5</v>
      </c>
      <c r="AE19" s="55">
        <v>65</v>
      </c>
      <c r="AF19" s="150"/>
      <c r="AG19" s="75">
        <f t="shared" si="8"/>
        <v>17</v>
      </c>
      <c r="AH19" s="54">
        <v>30.6</v>
      </c>
      <c r="AI19" s="55">
        <v>192</v>
      </c>
      <c r="AJ19" s="150">
        <v>1.0416666666666666E-2</v>
      </c>
      <c r="AK19" s="75">
        <f t="shared" si="9"/>
        <v>17</v>
      </c>
      <c r="AL19" s="54">
        <v>10.18</v>
      </c>
      <c r="AM19" s="55">
        <v>30</v>
      </c>
      <c r="AN19" s="150"/>
      <c r="AO19" s="75">
        <f t="shared" si="10"/>
        <v>17</v>
      </c>
      <c r="AP19" s="54">
        <v>16</v>
      </c>
      <c r="AQ19" s="55">
        <v>55</v>
      </c>
      <c r="AR19" s="150"/>
      <c r="AS19" s="75">
        <f t="shared" si="11"/>
        <v>17</v>
      </c>
      <c r="AT19" s="54">
        <v>22.41</v>
      </c>
      <c r="AU19" s="55">
        <v>98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10.1</v>
      </c>
      <c r="C20" s="55">
        <v>70</v>
      </c>
      <c r="D20" s="150"/>
      <c r="E20" s="75">
        <f t="shared" si="1"/>
        <v>18</v>
      </c>
      <c r="F20" s="54">
        <v>30.76</v>
      </c>
      <c r="G20" s="55">
        <v>28</v>
      </c>
      <c r="H20" s="150"/>
      <c r="I20" s="75">
        <f t="shared" si="2"/>
        <v>18</v>
      </c>
      <c r="J20" s="54">
        <v>10.25</v>
      </c>
      <c r="K20" s="55">
        <v>25</v>
      </c>
      <c r="L20" s="150">
        <v>1.7361111111111112E-2</v>
      </c>
      <c r="M20" s="75">
        <f t="shared" si="3"/>
        <v>18</v>
      </c>
      <c r="N20" s="54">
        <v>5</v>
      </c>
      <c r="O20" s="55">
        <v>3</v>
      </c>
      <c r="P20" s="150"/>
      <c r="Q20" s="75">
        <f t="shared" si="4"/>
        <v>18</v>
      </c>
      <c r="R20" s="54">
        <v>11.84</v>
      </c>
      <c r="S20" s="55">
        <v>18</v>
      </c>
      <c r="T20" s="150"/>
      <c r="U20" s="75">
        <f t="shared" si="5"/>
        <v>18</v>
      </c>
      <c r="V20" s="54">
        <v>39.5</v>
      </c>
      <c r="W20" s="55">
        <v>800</v>
      </c>
      <c r="X20" s="150"/>
      <c r="Y20" s="75">
        <f t="shared" si="6"/>
        <v>18</v>
      </c>
      <c r="Z20" s="54"/>
      <c r="AA20" s="55"/>
      <c r="AB20" s="150"/>
      <c r="AC20" s="75">
        <f t="shared" si="7"/>
        <v>18</v>
      </c>
      <c r="AD20" s="54">
        <v>15.68</v>
      </c>
      <c r="AE20" s="55">
        <v>40</v>
      </c>
      <c r="AF20" s="150"/>
      <c r="AG20" s="75">
        <f t="shared" si="8"/>
        <v>18</v>
      </c>
      <c r="AH20" s="54">
        <v>10.7</v>
      </c>
      <c r="AI20" s="55">
        <v>30</v>
      </c>
      <c r="AJ20" s="150"/>
      <c r="AK20" s="75">
        <f t="shared" si="9"/>
        <v>18</v>
      </c>
      <c r="AL20" s="54">
        <v>13.22</v>
      </c>
      <c r="AM20" s="55">
        <v>50</v>
      </c>
      <c r="AN20" s="150"/>
      <c r="AO20" s="75">
        <f t="shared" si="10"/>
        <v>18</v>
      </c>
      <c r="AP20" s="54">
        <v>61.3</v>
      </c>
      <c r="AQ20" s="55">
        <v>135</v>
      </c>
      <c r="AR20" s="150"/>
      <c r="AS20" s="75">
        <f t="shared" si="11"/>
        <v>18</v>
      </c>
      <c r="AT20" s="54">
        <v>10.01</v>
      </c>
      <c r="AU20" s="55">
        <v>20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11.08</v>
      </c>
      <c r="C21" s="55">
        <v>70</v>
      </c>
      <c r="D21" s="150"/>
      <c r="E21" s="75">
        <f t="shared" si="1"/>
        <v>19</v>
      </c>
      <c r="F21" s="54">
        <v>23.24</v>
      </c>
      <c r="G21" s="55">
        <v>93</v>
      </c>
      <c r="H21" s="150">
        <v>6.9444444444444434E-2</v>
      </c>
      <c r="I21" s="75">
        <f t="shared" si="2"/>
        <v>19</v>
      </c>
      <c r="J21" s="54">
        <v>50.08</v>
      </c>
      <c r="K21" s="55">
        <v>254</v>
      </c>
      <c r="L21" s="150"/>
      <c r="M21" s="75">
        <f t="shared" si="3"/>
        <v>19</v>
      </c>
      <c r="N21" s="54">
        <v>10.33</v>
      </c>
      <c r="O21" s="55">
        <v>18</v>
      </c>
      <c r="P21" s="150"/>
      <c r="Q21" s="75">
        <f t="shared" si="4"/>
        <v>19</v>
      </c>
      <c r="R21" s="54">
        <v>5.64</v>
      </c>
      <c r="S21" s="55">
        <v>3</v>
      </c>
      <c r="T21" s="150"/>
      <c r="U21" s="75">
        <f t="shared" si="5"/>
        <v>19</v>
      </c>
      <c r="V21" s="54">
        <v>62</v>
      </c>
      <c r="W21" s="55">
        <v>1180</v>
      </c>
      <c r="X21" s="150"/>
      <c r="Y21" s="75">
        <f t="shared" si="6"/>
        <v>19</v>
      </c>
      <c r="Z21" s="54">
        <v>11.11</v>
      </c>
      <c r="AA21" s="55">
        <v>20</v>
      </c>
      <c r="AB21" s="150"/>
      <c r="AC21" s="75">
        <f t="shared" si="7"/>
        <v>19</v>
      </c>
      <c r="AD21" s="54">
        <v>30.94</v>
      </c>
      <c r="AE21" s="55">
        <v>355</v>
      </c>
      <c r="AF21" s="150"/>
      <c r="AG21" s="75">
        <f t="shared" si="8"/>
        <v>19</v>
      </c>
      <c r="AH21" s="54">
        <v>10.92</v>
      </c>
      <c r="AI21" s="55">
        <v>40</v>
      </c>
      <c r="AJ21" s="150"/>
      <c r="AK21" s="75">
        <f t="shared" si="9"/>
        <v>19</v>
      </c>
      <c r="AL21" s="54">
        <v>18.32</v>
      </c>
      <c r="AM21" s="55">
        <v>45</v>
      </c>
      <c r="AN21" s="150"/>
      <c r="AO21" s="75">
        <f t="shared" si="10"/>
        <v>19</v>
      </c>
      <c r="AP21" s="54">
        <v>5</v>
      </c>
      <c r="AQ21" s="55">
        <v>3</v>
      </c>
      <c r="AR21" s="150"/>
      <c r="AS21" s="75">
        <f t="shared" si="11"/>
        <v>19</v>
      </c>
      <c r="AT21" s="54">
        <v>6.5</v>
      </c>
      <c r="AU21" s="55">
        <v>10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11.62</v>
      </c>
      <c r="C22" s="55">
        <v>80</v>
      </c>
      <c r="D22" s="150"/>
      <c r="E22" s="75">
        <f t="shared" si="1"/>
        <v>20</v>
      </c>
      <c r="F22" s="54">
        <v>11</v>
      </c>
      <c r="G22" s="55">
        <v>30</v>
      </c>
      <c r="H22" s="150"/>
      <c r="I22" s="75">
        <f t="shared" si="2"/>
        <v>20</v>
      </c>
      <c r="J22" s="54">
        <v>10.41</v>
      </c>
      <c r="K22" s="55">
        <v>10</v>
      </c>
      <c r="L22" s="150"/>
      <c r="M22" s="75">
        <f t="shared" si="3"/>
        <v>20</v>
      </c>
      <c r="N22" s="54">
        <v>17.14</v>
      </c>
      <c r="O22" s="55">
        <v>78</v>
      </c>
      <c r="P22" s="150"/>
      <c r="Q22" s="75">
        <f t="shared" si="4"/>
        <v>20</v>
      </c>
      <c r="R22" s="54">
        <v>40.92</v>
      </c>
      <c r="S22" s="55">
        <v>470</v>
      </c>
      <c r="T22" s="150"/>
      <c r="U22" s="75">
        <f t="shared" si="5"/>
        <v>20</v>
      </c>
      <c r="V22" s="54"/>
      <c r="W22" s="55"/>
      <c r="X22" s="150"/>
      <c r="Y22" s="75">
        <f t="shared" si="6"/>
        <v>20</v>
      </c>
      <c r="Z22" s="54">
        <v>16.829999999999998</v>
      </c>
      <c r="AA22" s="55">
        <v>105</v>
      </c>
      <c r="AB22" s="150"/>
      <c r="AC22" s="75">
        <f t="shared" si="7"/>
        <v>20</v>
      </c>
      <c r="AD22" s="54">
        <v>24.17</v>
      </c>
      <c r="AE22" s="55">
        <v>323</v>
      </c>
      <c r="AF22" s="150"/>
      <c r="AG22" s="75">
        <f t="shared" si="8"/>
        <v>20</v>
      </c>
      <c r="AH22" s="54">
        <v>13.87</v>
      </c>
      <c r="AI22" s="55">
        <v>40</v>
      </c>
      <c r="AJ22" s="150"/>
      <c r="AK22" s="75">
        <f t="shared" si="9"/>
        <v>20</v>
      </c>
      <c r="AL22" s="54">
        <v>15.1</v>
      </c>
      <c r="AM22" s="55">
        <v>9</v>
      </c>
      <c r="AN22" s="150"/>
      <c r="AO22" s="75">
        <f t="shared" si="10"/>
        <v>20</v>
      </c>
      <c r="AP22" s="54">
        <v>31.2</v>
      </c>
      <c r="AQ22" s="55">
        <v>170</v>
      </c>
      <c r="AR22" s="150"/>
      <c r="AS22" s="75">
        <f t="shared" si="11"/>
        <v>20</v>
      </c>
      <c r="AT22" s="54">
        <v>12.76</v>
      </c>
      <c r="AU22" s="55">
        <v>40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12.33</v>
      </c>
      <c r="C23" s="55">
        <v>310</v>
      </c>
      <c r="D23" s="150"/>
      <c r="E23" s="75">
        <f t="shared" si="1"/>
        <v>21</v>
      </c>
      <c r="F23" s="54"/>
      <c r="G23" s="55"/>
      <c r="H23" s="150"/>
      <c r="I23" s="75">
        <f t="shared" si="2"/>
        <v>21</v>
      </c>
      <c r="J23" s="54">
        <v>5</v>
      </c>
      <c r="K23" s="55">
        <v>3</v>
      </c>
      <c r="L23" s="150"/>
      <c r="M23" s="75">
        <f t="shared" si="3"/>
        <v>21</v>
      </c>
      <c r="N23" s="54">
        <v>28.14</v>
      </c>
      <c r="O23" s="55">
        <v>202</v>
      </c>
      <c r="P23" s="150"/>
      <c r="Q23" s="75">
        <f t="shared" si="4"/>
        <v>21</v>
      </c>
      <c r="R23" s="54">
        <v>53.070000000000007</v>
      </c>
      <c r="S23" s="55">
        <v>257</v>
      </c>
      <c r="T23" s="150"/>
      <c r="U23" s="75">
        <f t="shared" si="5"/>
        <v>21</v>
      </c>
      <c r="V23" s="54">
        <v>36.299999999999997</v>
      </c>
      <c r="W23" s="55">
        <v>592</v>
      </c>
      <c r="X23" s="150"/>
      <c r="Y23" s="75">
        <f t="shared" si="6"/>
        <v>21</v>
      </c>
      <c r="Z23" s="54">
        <v>18.329999999999998</v>
      </c>
      <c r="AA23" s="55">
        <v>73</v>
      </c>
      <c r="AB23" s="150">
        <v>2.7777777777777776E-2</v>
      </c>
      <c r="AC23" s="75">
        <f t="shared" si="7"/>
        <v>21</v>
      </c>
      <c r="AD23" s="54">
        <v>21.05</v>
      </c>
      <c r="AE23" s="55">
        <v>20</v>
      </c>
      <c r="AF23" s="150"/>
      <c r="AG23" s="75">
        <f t="shared" si="8"/>
        <v>21</v>
      </c>
      <c r="AH23" s="54">
        <v>15.63</v>
      </c>
      <c r="AI23" s="55">
        <v>165</v>
      </c>
      <c r="AJ23" s="150"/>
      <c r="AK23" s="75">
        <f t="shared" si="9"/>
        <v>21</v>
      </c>
      <c r="AL23" s="54">
        <v>60.62</v>
      </c>
      <c r="AM23" s="55">
        <v>385</v>
      </c>
      <c r="AN23" s="150"/>
      <c r="AO23" s="75">
        <f t="shared" si="10"/>
        <v>21</v>
      </c>
      <c r="AP23" s="54">
        <v>10.119999999999999</v>
      </c>
      <c r="AQ23" s="55">
        <v>10</v>
      </c>
      <c r="AR23" s="150"/>
      <c r="AS23" s="75">
        <f t="shared" si="11"/>
        <v>21</v>
      </c>
      <c r="AT23" s="54">
        <v>10.58</v>
      </c>
      <c r="AU23" s="55">
        <v>30</v>
      </c>
      <c r="AV23" s="150">
        <v>1.0416666666666666E-2</v>
      </c>
      <c r="AW23" s="67"/>
    </row>
    <row r="24" spans="1:49" s="49" customFormat="1" ht="11.25" x14ac:dyDescent="0.2">
      <c r="A24" s="73">
        <f t="shared" si="0"/>
        <v>22</v>
      </c>
      <c r="B24" s="54">
        <v>13.09</v>
      </c>
      <c r="C24" s="55">
        <v>350</v>
      </c>
      <c r="D24" s="150">
        <v>1.3888888888888888E-2</v>
      </c>
      <c r="E24" s="75">
        <f t="shared" si="1"/>
        <v>22</v>
      </c>
      <c r="F24" s="54">
        <v>10.1</v>
      </c>
      <c r="G24" s="55">
        <v>20</v>
      </c>
      <c r="H24" s="150"/>
      <c r="I24" s="75">
        <f t="shared" si="2"/>
        <v>22</v>
      </c>
      <c r="J24" s="54">
        <v>11.16</v>
      </c>
      <c r="K24" s="55">
        <v>30</v>
      </c>
      <c r="L24" s="150"/>
      <c r="M24" s="75">
        <f t="shared" si="3"/>
        <v>22</v>
      </c>
      <c r="N24" s="49">
        <v>20.13</v>
      </c>
      <c r="O24" s="49">
        <v>30</v>
      </c>
      <c r="P24" s="150">
        <v>1.0416666666666666E-2</v>
      </c>
      <c r="Q24" s="75">
        <f t="shared" si="4"/>
        <v>22</v>
      </c>
      <c r="R24" s="54">
        <v>13.44</v>
      </c>
      <c r="S24" s="49">
        <v>30</v>
      </c>
      <c r="T24" s="150"/>
      <c r="U24" s="75">
        <f t="shared" si="5"/>
        <v>22</v>
      </c>
      <c r="V24" s="54">
        <v>13.5</v>
      </c>
      <c r="W24" s="55">
        <v>300</v>
      </c>
      <c r="X24" s="150"/>
      <c r="Y24" s="75">
        <f t="shared" si="6"/>
        <v>22</v>
      </c>
      <c r="Z24" s="54">
        <v>22.53</v>
      </c>
      <c r="AA24" s="55">
        <v>118</v>
      </c>
      <c r="AB24" s="150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50"/>
      <c r="AG24" s="75">
        <f t="shared" si="8"/>
        <v>22</v>
      </c>
      <c r="AH24" s="54">
        <v>17.8</v>
      </c>
      <c r="AI24" s="55">
        <v>85</v>
      </c>
      <c r="AJ24" s="150"/>
      <c r="AK24" s="75">
        <f t="shared" si="9"/>
        <v>22</v>
      </c>
      <c r="AL24" s="54">
        <v>25.68</v>
      </c>
      <c r="AM24" s="55">
        <v>15</v>
      </c>
      <c r="AN24" s="150"/>
      <c r="AO24" s="75">
        <f t="shared" si="10"/>
        <v>22</v>
      </c>
      <c r="AP24" s="54">
        <v>10.6</v>
      </c>
      <c r="AQ24" s="55">
        <v>30</v>
      </c>
      <c r="AR24" s="150"/>
      <c r="AS24" s="75">
        <f t="shared" si="11"/>
        <v>22</v>
      </c>
      <c r="AT24" s="54">
        <v>10.199999999999999</v>
      </c>
      <c r="AU24" s="55">
        <v>30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12.5</v>
      </c>
      <c r="C25" s="55">
        <v>40</v>
      </c>
      <c r="D25" s="150"/>
      <c r="E25" s="75">
        <f t="shared" si="1"/>
        <v>23</v>
      </c>
      <c r="F25" s="54">
        <v>22.05</v>
      </c>
      <c r="G25" s="55">
        <v>130</v>
      </c>
      <c r="H25" s="150"/>
      <c r="I25" s="75">
        <f t="shared" si="2"/>
        <v>23</v>
      </c>
      <c r="J25" s="54">
        <v>12.07</v>
      </c>
      <c r="K25" s="55">
        <v>50</v>
      </c>
      <c r="L25" s="150"/>
      <c r="M25" s="75">
        <f t="shared" si="3"/>
        <v>23</v>
      </c>
      <c r="N25" s="54">
        <v>50.41</v>
      </c>
      <c r="O25" s="55">
        <v>140</v>
      </c>
      <c r="P25" s="150"/>
      <c r="Q25" s="75">
        <f t="shared" si="4"/>
        <v>23</v>
      </c>
      <c r="R25" s="54">
        <v>10.64</v>
      </c>
      <c r="S25" s="55">
        <v>25</v>
      </c>
      <c r="T25" s="150"/>
      <c r="U25" s="75">
        <f t="shared" si="5"/>
        <v>23</v>
      </c>
      <c r="V25" s="54">
        <v>45</v>
      </c>
      <c r="W25" s="55">
        <v>600</v>
      </c>
      <c r="X25" s="150"/>
      <c r="Y25" s="75">
        <f t="shared" si="6"/>
        <v>23</v>
      </c>
      <c r="Z25" s="54">
        <v>32.200000000000003</v>
      </c>
      <c r="AA25" s="55">
        <v>272</v>
      </c>
      <c r="AB25" s="150"/>
      <c r="AC25" s="75">
        <f t="shared" si="7"/>
        <v>23</v>
      </c>
      <c r="AD25" s="54">
        <v>11.5</v>
      </c>
      <c r="AE25" s="55">
        <v>68</v>
      </c>
      <c r="AF25" s="150"/>
      <c r="AG25" s="75">
        <f t="shared" si="8"/>
        <v>23</v>
      </c>
      <c r="AH25" s="54">
        <v>39</v>
      </c>
      <c r="AI25" s="55">
        <v>432</v>
      </c>
      <c r="AJ25" s="150"/>
      <c r="AK25" s="75">
        <f t="shared" si="9"/>
        <v>23</v>
      </c>
      <c r="AL25" s="54">
        <v>41.75</v>
      </c>
      <c r="AM25" s="55">
        <v>80</v>
      </c>
      <c r="AN25" s="150"/>
      <c r="AO25" s="75">
        <f t="shared" si="10"/>
        <v>23</v>
      </c>
      <c r="AP25" s="54">
        <v>17.41</v>
      </c>
      <c r="AQ25" s="55">
        <v>125</v>
      </c>
      <c r="AR25" s="150"/>
      <c r="AS25" s="75">
        <f t="shared" si="11"/>
        <v>23</v>
      </c>
      <c r="AT25" s="54">
        <v>20.399999999999999</v>
      </c>
      <c r="AU25" s="55">
        <v>142</v>
      </c>
      <c r="AV25" s="150">
        <v>1.5277777777777777E-2</v>
      </c>
      <c r="AW25" s="67"/>
    </row>
    <row r="26" spans="1:49" s="49" customFormat="1" ht="11.25" x14ac:dyDescent="0.2">
      <c r="A26" s="73">
        <f t="shared" si="0"/>
        <v>24</v>
      </c>
      <c r="B26" s="54">
        <v>10.31</v>
      </c>
      <c r="C26" s="55">
        <v>50</v>
      </c>
      <c r="D26" s="150"/>
      <c r="E26" s="75">
        <f t="shared" si="1"/>
        <v>24</v>
      </c>
      <c r="F26" s="54">
        <v>28.34</v>
      </c>
      <c r="G26" s="55">
        <v>216</v>
      </c>
      <c r="H26" s="150"/>
      <c r="I26" s="75">
        <f t="shared" si="2"/>
        <v>24</v>
      </c>
      <c r="J26" s="54">
        <v>10.25</v>
      </c>
      <c r="K26" s="55">
        <v>6</v>
      </c>
      <c r="L26" s="150"/>
      <c r="M26" s="75">
        <f t="shared" si="3"/>
        <v>24</v>
      </c>
      <c r="N26" s="54">
        <v>14.219999999999999</v>
      </c>
      <c r="O26" s="55">
        <v>90</v>
      </c>
      <c r="P26" s="150"/>
      <c r="Q26" s="75">
        <f t="shared" si="4"/>
        <v>24</v>
      </c>
      <c r="R26" s="54">
        <v>13.58</v>
      </c>
      <c r="S26" s="55">
        <v>33</v>
      </c>
      <c r="T26" s="150">
        <v>4.8611111111111112E-3</v>
      </c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10.11</v>
      </c>
      <c r="AA26" s="55">
        <v>40</v>
      </c>
      <c r="AB26" s="150"/>
      <c r="AC26" s="75">
        <f t="shared" si="7"/>
        <v>24</v>
      </c>
      <c r="AD26" s="54"/>
      <c r="AE26" s="55"/>
      <c r="AF26" s="150"/>
      <c r="AG26" s="75">
        <f t="shared" si="8"/>
        <v>24</v>
      </c>
      <c r="AH26" s="54">
        <v>52.169999999999995</v>
      </c>
      <c r="AI26" s="55">
        <v>437</v>
      </c>
      <c r="AJ26" s="150"/>
      <c r="AK26" s="75">
        <f t="shared" si="9"/>
        <v>24</v>
      </c>
      <c r="AL26" s="54">
        <v>10</v>
      </c>
      <c r="AM26" s="55">
        <v>30</v>
      </c>
      <c r="AN26" s="150"/>
      <c r="AO26" s="75">
        <f t="shared" si="10"/>
        <v>24</v>
      </c>
      <c r="AP26" s="54">
        <v>13.38</v>
      </c>
      <c r="AQ26" s="55">
        <v>30</v>
      </c>
      <c r="AR26" s="150"/>
      <c r="AS26" s="75">
        <f t="shared" si="11"/>
        <v>24</v>
      </c>
      <c r="AT26" s="54">
        <v>20.100000000000001</v>
      </c>
      <c r="AU26" s="55">
        <v>750</v>
      </c>
      <c r="AV26" s="150">
        <v>4.1666666666666664E-2</v>
      </c>
      <c r="AW26" s="67"/>
    </row>
    <row r="27" spans="1:49" s="49" customFormat="1" ht="11.25" x14ac:dyDescent="0.2">
      <c r="A27" s="73">
        <f t="shared" si="0"/>
        <v>25</v>
      </c>
      <c r="B27" s="54">
        <v>10.27</v>
      </c>
      <c r="C27" s="55">
        <v>50</v>
      </c>
      <c r="D27" s="150"/>
      <c r="E27" s="75">
        <f t="shared" si="1"/>
        <v>25</v>
      </c>
      <c r="F27" s="54">
        <v>55.65</v>
      </c>
      <c r="G27" s="55">
        <v>593</v>
      </c>
      <c r="H27" s="150"/>
      <c r="I27" s="75">
        <f t="shared" si="2"/>
        <v>25</v>
      </c>
      <c r="J27" s="54">
        <v>84.039999999999992</v>
      </c>
      <c r="K27" s="55">
        <v>1965</v>
      </c>
      <c r="L27" s="150"/>
      <c r="M27" s="75">
        <f t="shared" si="3"/>
        <v>25</v>
      </c>
      <c r="N27" s="54"/>
      <c r="O27" s="55"/>
      <c r="P27" s="150"/>
      <c r="Q27" s="75">
        <f t="shared" si="4"/>
        <v>25</v>
      </c>
      <c r="R27" s="54">
        <v>64.2</v>
      </c>
      <c r="S27" s="55">
        <v>820</v>
      </c>
      <c r="T27" s="150"/>
      <c r="U27" s="75">
        <f t="shared" si="5"/>
        <v>25</v>
      </c>
      <c r="V27" s="54"/>
      <c r="W27" s="55"/>
      <c r="X27" s="150"/>
      <c r="Y27" s="75">
        <f t="shared" si="6"/>
        <v>25</v>
      </c>
      <c r="Z27" s="54">
        <v>5.17</v>
      </c>
      <c r="AA27" s="55">
        <v>3</v>
      </c>
      <c r="AB27" s="150"/>
      <c r="AC27" s="75">
        <f t="shared" si="7"/>
        <v>25</v>
      </c>
      <c r="AD27" s="54">
        <v>22.900000000000002</v>
      </c>
      <c r="AE27" s="55">
        <v>70</v>
      </c>
      <c r="AF27" s="150"/>
      <c r="AG27" s="75">
        <f t="shared" si="8"/>
        <v>25</v>
      </c>
      <c r="AH27" s="54">
        <v>13.3</v>
      </c>
      <c r="AI27" s="55">
        <v>10</v>
      </c>
      <c r="AJ27" s="150"/>
      <c r="AK27" s="75">
        <f t="shared" si="9"/>
        <v>25</v>
      </c>
      <c r="AL27" s="54">
        <v>16.73</v>
      </c>
      <c r="AM27" s="55">
        <v>20</v>
      </c>
      <c r="AN27" s="150"/>
      <c r="AO27" s="75">
        <f t="shared" si="10"/>
        <v>25</v>
      </c>
      <c r="AP27" s="54">
        <v>5.13</v>
      </c>
      <c r="AQ27" s="55">
        <v>3</v>
      </c>
      <c r="AR27" s="150"/>
      <c r="AS27" s="75">
        <f t="shared" si="11"/>
        <v>25</v>
      </c>
      <c r="AT27" s="54">
        <v>2</v>
      </c>
      <c r="AU27" s="55">
        <v>3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11.43</v>
      </c>
      <c r="C28" s="55">
        <v>10</v>
      </c>
      <c r="D28" s="150"/>
      <c r="E28" s="75">
        <f t="shared" si="1"/>
        <v>26</v>
      </c>
      <c r="F28" s="54">
        <v>51.27</v>
      </c>
      <c r="G28" s="55">
        <v>474</v>
      </c>
      <c r="H28" s="150"/>
      <c r="I28" s="75">
        <f t="shared" si="2"/>
        <v>26</v>
      </c>
      <c r="J28" s="54">
        <v>19.760000000000002</v>
      </c>
      <c r="K28" s="55">
        <v>125</v>
      </c>
      <c r="L28" s="150"/>
      <c r="M28" s="75">
        <f t="shared" si="3"/>
        <v>26</v>
      </c>
      <c r="N28" s="54">
        <v>16.16</v>
      </c>
      <c r="O28" s="55">
        <v>45</v>
      </c>
      <c r="P28" s="150"/>
      <c r="Q28" s="75">
        <f t="shared" si="4"/>
        <v>26</v>
      </c>
      <c r="R28" s="54">
        <v>24.4</v>
      </c>
      <c r="S28" s="55">
        <v>530</v>
      </c>
      <c r="T28" s="150"/>
      <c r="U28" s="75">
        <f t="shared" si="5"/>
        <v>26</v>
      </c>
      <c r="V28" s="54">
        <v>32</v>
      </c>
      <c r="W28" s="55">
        <v>1530</v>
      </c>
      <c r="X28" s="150"/>
      <c r="Y28" s="75">
        <f t="shared" si="6"/>
        <v>26</v>
      </c>
      <c r="Z28" s="54">
        <v>12.61</v>
      </c>
      <c r="AA28" s="55">
        <v>50</v>
      </c>
      <c r="AB28" s="150"/>
      <c r="AC28" s="75">
        <f t="shared" si="7"/>
        <v>26</v>
      </c>
      <c r="AD28" s="54">
        <v>38.1</v>
      </c>
      <c r="AE28" s="55">
        <v>265</v>
      </c>
      <c r="AF28" s="150"/>
      <c r="AG28" s="75">
        <f t="shared" si="8"/>
        <v>26</v>
      </c>
      <c r="AH28" s="54">
        <v>10.07</v>
      </c>
      <c r="AI28" s="55">
        <v>30</v>
      </c>
      <c r="AJ28" s="150"/>
      <c r="AK28" s="75">
        <f t="shared" si="9"/>
        <v>26</v>
      </c>
      <c r="AL28" s="54">
        <v>15</v>
      </c>
      <c r="AM28" s="55">
        <v>30</v>
      </c>
      <c r="AN28" s="150"/>
      <c r="AO28" s="75">
        <f t="shared" si="10"/>
        <v>26</v>
      </c>
      <c r="AP28" s="54">
        <v>10.66</v>
      </c>
      <c r="AQ28" s="55">
        <v>90</v>
      </c>
      <c r="AR28" s="150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50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>
        <v>10.199999999999999</v>
      </c>
      <c r="C29" s="55">
        <v>10</v>
      </c>
      <c r="D29" s="150"/>
      <c r="E29" s="75">
        <f t="shared" si="1"/>
        <v>27</v>
      </c>
      <c r="F29" s="54">
        <v>14.52</v>
      </c>
      <c r="G29" s="55">
        <v>282</v>
      </c>
      <c r="H29" s="150"/>
      <c r="I29" s="75">
        <f t="shared" si="2"/>
        <v>27</v>
      </c>
      <c r="J29" s="54">
        <v>10.33</v>
      </c>
      <c r="K29" s="55">
        <v>15</v>
      </c>
      <c r="L29" s="150"/>
      <c r="M29" s="75">
        <f t="shared" si="3"/>
        <v>27</v>
      </c>
      <c r="N29" s="54">
        <v>16.95</v>
      </c>
      <c r="O29" s="55">
        <v>45</v>
      </c>
      <c r="P29" s="150"/>
      <c r="Q29" s="75">
        <f t="shared" si="4"/>
        <v>27</v>
      </c>
      <c r="R29" s="54">
        <v>53.2</v>
      </c>
      <c r="S29" s="55">
        <v>1130</v>
      </c>
      <c r="T29" s="150"/>
      <c r="U29" s="75">
        <f t="shared" si="5"/>
        <v>27</v>
      </c>
      <c r="V29" s="54"/>
      <c r="W29" s="55"/>
      <c r="X29" s="150"/>
      <c r="Y29" s="75">
        <f t="shared" si="6"/>
        <v>27</v>
      </c>
      <c r="Z29" s="54">
        <v>14.219999999999999</v>
      </c>
      <c r="AA29" s="55">
        <v>90</v>
      </c>
      <c r="AB29" s="150"/>
      <c r="AC29" s="75">
        <f t="shared" si="7"/>
        <v>27</v>
      </c>
      <c r="AD29" s="54">
        <v>81.490000000000009</v>
      </c>
      <c r="AE29" s="55">
        <v>1265</v>
      </c>
      <c r="AF29" s="150"/>
      <c r="AG29" s="75">
        <f t="shared" si="8"/>
        <v>27</v>
      </c>
      <c r="AH29" s="54">
        <v>13.1</v>
      </c>
      <c r="AI29" s="55">
        <v>10</v>
      </c>
      <c r="AJ29" s="150"/>
      <c r="AK29" s="75">
        <f t="shared" si="9"/>
        <v>27</v>
      </c>
      <c r="AL29" s="54">
        <v>18.61</v>
      </c>
      <c r="AM29" s="55">
        <v>414</v>
      </c>
      <c r="AN29" s="150"/>
      <c r="AO29" s="75">
        <f t="shared" si="10"/>
        <v>27</v>
      </c>
      <c r="AP29" s="54">
        <v>10.02</v>
      </c>
      <c r="AQ29" s="55">
        <v>45</v>
      </c>
      <c r="AR29" s="150">
        <v>1.0416666666666666E-2</v>
      </c>
      <c r="AS29" s="75">
        <f t="shared" si="11"/>
        <v>27</v>
      </c>
      <c r="AT29" s="54"/>
      <c r="AU29" s="55"/>
      <c r="AV29" s="150">
        <v>1.0416666666666666E-2</v>
      </c>
      <c r="AW29" s="67"/>
    </row>
    <row r="30" spans="1:49" s="49" customFormat="1" ht="11.25" x14ac:dyDescent="0.2">
      <c r="A30" s="73">
        <f t="shared" si="0"/>
        <v>28</v>
      </c>
      <c r="B30" s="54">
        <v>10.98</v>
      </c>
      <c r="C30" s="55">
        <v>310</v>
      </c>
      <c r="D30" s="150">
        <v>1.3888888888888888E-2</v>
      </c>
      <c r="E30" s="75">
        <f t="shared" si="1"/>
        <v>28</v>
      </c>
      <c r="F30" s="54"/>
      <c r="G30" s="55"/>
      <c r="H30" s="150"/>
      <c r="I30" s="75">
        <f t="shared" si="2"/>
        <v>28</v>
      </c>
      <c r="J30" s="54">
        <v>13.75</v>
      </c>
      <c r="K30" s="55">
        <v>140</v>
      </c>
      <c r="L30" s="150"/>
      <c r="M30" s="75">
        <f t="shared" si="3"/>
        <v>28</v>
      </c>
      <c r="N30" s="54"/>
      <c r="O30" s="55"/>
      <c r="P30" s="150"/>
      <c r="Q30" s="75">
        <f t="shared" si="4"/>
        <v>28</v>
      </c>
      <c r="R30" s="54">
        <v>28.21</v>
      </c>
      <c r="S30" s="55">
        <v>176</v>
      </c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5.16</v>
      </c>
      <c r="AA30" s="55">
        <v>3</v>
      </c>
      <c r="AB30" s="150"/>
      <c r="AC30" s="75">
        <f t="shared" si="7"/>
        <v>28</v>
      </c>
      <c r="AD30" s="54">
        <v>11</v>
      </c>
      <c r="AE30" s="55">
        <v>25</v>
      </c>
      <c r="AF30" s="150"/>
      <c r="AG30" s="75">
        <f t="shared" si="8"/>
        <v>28</v>
      </c>
      <c r="AH30" s="54">
        <v>13.5</v>
      </c>
      <c r="AI30" s="55">
        <v>55</v>
      </c>
      <c r="AJ30" s="150"/>
      <c r="AK30" s="75">
        <f t="shared" si="9"/>
        <v>28</v>
      </c>
      <c r="AL30" s="54">
        <v>24.95</v>
      </c>
      <c r="AM30" s="55">
        <v>50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/>
      <c r="AU30" s="55"/>
      <c r="AV30" s="150">
        <v>1.1805555555555555E-2</v>
      </c>
      <c r="AW30" s="67"/>
    </row>
    <row r="31" spans="1:49" s="49" customFormat="1" ht="11.25" x14ac:dyDescent="0.2">
      <c r="A31" s="73">
        <f t="shared" si="0"/>
        <v>29</v>
      </c>
      <c r="B31" s="54">
        <v>13.91</v>
      </c>
      <c r="C31" s="55">
        <v>45</v>
      </c>
      <c r="D31" s="150"/>
      <c r="E31" s="75"/>
      <c r="F31" s="54"/>
      <c r="G31" s="55"/>
      <c r="H31" s="150"/>
      <c r="I31" s="75">
        <f t="shared" si="2"/>
        <v>29</v>
      </c>
      <c r="J31" s="54">
        <v>13.75</v>
      </c>
      <c r="K31" s="55">
        <v>140</v>
      </c>
      <c r="L31" s="150"/>
      <c r="M31" s="75">
        <f t="shared" si="3"/>
        <v>29</v>
      </c>
      <c r="N31" s="54">
        <v>41.070000000000007</v>
      </c>
      <c r="O31" s="55">
        <v>368</v>
      </c>
      <c r="P31" s="150"/>
      <c r="Q31" s="75">
        <f t="shared" si="4"/>
        <v>29</v>
      </c>
      <c r="R31" s="54">
        <v>16.43</v>
      </c>
      <c r="S31" s="55">
        <v>10</v>
      </c>
      <c r="T31" s="150"/>
      <c r="U31" s="75">
        <f t="shared" si="5"/>
        <v>29</v>
      </c>
      <c r="V31" s="54">
        <v>16</v>
      </c>
      <c r="W31" s="55">
        <v>550</v>
      </c>
      <c r="X31" s="150"/>
      <c r="Y31" s="75">
        <f t="shared" si="6"/>
        <v>29</v>
      </c>
      <c r="Z31" s="54">
        <v>29</v>
      </c>
      <c r="AA31" s="55">
        <v>265</v>
      </c>
      <c r="AB31" s="150"/>
      <c r="AC31" s="75">
        <f t="shared" si="7"/>
        <v>29</v>
      </c>
      <c r="AD31" s="54">
        <v>21.3</v>
      </c>
      <c r="AE31" s="55">
        <v>150</v>
      </c>
      <c r="AF31" s="150"/>
      <c r="AG31" s="75">
        <f t="shared" si="8"/>
        <v>29</v>
      </c>
      <c r="AH31" s="54">
        <v>14.81</v>
      </c>
      <c r="AI31" s="55">
        <v>340</v>
      </c>
      <c r="AJ31" s="150"/>
      <c r="AK31" s="75">
        <f t="shared" si="9"/>
        <v>29</v>
      </c>
      <c r="AL31" s="54">
        <v>16.190000000000001</v>
      </c>
      <c r="AM31" s="55">
        <v>40</v>
      </c>
      <c r="AN31" s="150"/>
      <c r="AO31" s="75">
        <f t="shared" si="10"/>
        <v>29</v>
      </c>
      <c r="AP31" s="54">
        <v>11.16</v>
      </c>
      <c r="AQ31" s="55">
        <v>60</v>
      </c>
      <c r="AR31" s="150"/>
      <c r="AS31" s="75">
        <f t="shared" si="11"/>
        <v>29</v>
      </c>
      <c r="AT31" s="54">
        <v>11.12</v>
      </c>
      <c r="AU31" s="55">
        <v>65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5</v>
      </c>
      <c r="C32" s="55">
        <v>3</v>
      </c>
      <c r="D32" s="150"/>
      <c r="E32" s="75"/>
      <c r="F32" s="54"/>
      <c r="G32" s="55"/>
      <c r="H32" s="150"/>
      <c r="I32" s="75">
        <f t="shared" si="2"/>
        <v>30</v>
      </c>
      <c r="J32" s="54">
        <v>13.38</v>
      </c>
      <c r="K32" s="55">
        <v>30</v>
      </c>
      <c r="L32" s="150"/>
      <c r="M32" s="75">
        <f t="shared" si="3"/>
        <v>30</v>
      </c>
      <c r="N32" s="54">
        <v>43.6</v>
      </c>
      <c r="O32" s="55">
        <v>1084</v>
      </c>
      <c r="P32" s="150"/>
      <c r="Q32" s="75">
        <f t="shared" si="4"/>
        <v>30</v>
      </c>
      <c r="R32" s="54">
        <v>8.3000000000000007</v>
      </c>
      <c r="S32" s="55">
        <v>10</v>
      </c>
      <c r="T32" s="150"/>
      <c r="U32" s="75">
        <f t="shared" si="5"/>
        <v>30</v>
      </c>
      <c r="V32" s="54">
        <v>45</v>
      </c>
      <c r="W32" s="55">
        <v>1450</v>
      </c>
      <c r="X32" s="150"/>
      <c r="Y32" s="75">
        <f t="shared" si="6"/>
        <v>30</v>
      </c>
      <c r="Z32" s="54">
        <v>80</v>
      </c>
      <c r="AA32" s="55">
        <v>447</v>
      </c>
      <c r="AB32" s="150"/>
      <c r="AC32" s="75">
        <f t="shared" si="7"/>
        <v>30</v>
      </c>
      <c r="AD32" s="54">
        <v>22.48</v>
      </c>
      <c r="AE32" s="55">
        <v>80</v>
      </c>
      <c r="AF32" s="150"/>
      <c r="AG32" s="75">
        <f t="shared" si="8"/>
        <v>30</v>
      </c>
      <c r="AH32" s="54">
        <v>36.309999999999995</v>
      </c>
      <c r="AI32" s="55">
        <v>755</v>
      </c>
      <c r="AJ32" s="150"/>
      <c r="AK32" s="75">
        <f t="shared" si="9"/>
        <v>30</v>
      </c>
      <c r="AL32" s="54">
        <v>13.5</v>
      </c>
      <c r="AM32" s="55">
        <v>40</v>
      </c>
      <c r="AN32" s="150"/>
      <c r="AO32" s="75">
        <f t="shared" si="10"/>
        <v>30</v>
      </c>
      <c r="AP32" s="54">
        <v>10.1</v>
      </c>
      <c r="AQ32" s="55">
        <v>30</v>
      </c>
      <c r="AR32" s="150"/>
      <c r="AS32" s="75">
        <f t="shared" si="11"/>
        <v>30</v>
      </c>
      <c r="AT32" s="54">
        <v>27.72</v>
      </c>
      <c r="AU32" s="55">
        <v>90</v>
      </c>
      <c r="AV32" s="150">
        <v>1.0416666666666666E-2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10.26</v>
      </c>
      <c r="C33" s="63">
        <v>15</v>
      </c>
      <c r="D33" s="151"/>
      <c r="E33" s="76"/>
      <c r="F33" s="62"/>
      <c r="G33" s="63"/>
      <c r="H33" s="151"/>
      <c r="I33" s="76">
        <f t="shared" si="2"/>
        <v>31</v>
      </c>
      <c r="J33" s="62">
        <v>15.899999999999999</v>
      </c>
      <c r="K33" s="63">
        <v>195</v>
      </c>
      <c r="L33" s="151"/>
      <c r="M33" s="76"/>
      <c r="N33" s="62"/>
      <c r="O33" s="63"/>
      <c r="P33" s="151"/>
      <c r="Q33" s="76">
        <f t="shared" si="4"/>
        <v>31</v>
      </c>
      <c r="R33" s="62">
        <v>18.41</v>
      </c>
      <c r="S33" s="63">
        <v>50</v>
      </c>
      <c r="T33" s="151"/>
      <c r="U33" s="76"/>
      <c r="V33" s="62"/>
      <c r="W33" s="63"/>
      <c r="X33" s="151"/>
      <c r="Y33" s="76">
        <f t="shared" si="6"/>
        <v>31</v>
      </c>
      <c r="Z33" s="62">
        <v>10</v>
      </c>
      <c r="AA33" s="63">
        <v>20</v>
      </c>
      <c r="AB33" s="151"/>
      <c r="AC33" s="76">
        <f t="shared" si="7"/>
        <v>31</v>
      </c>
      <c r="AD33" s="62">
        <v>5.09</v>
      </c>
      <c r="AE33" s="63">
        <v>3</v>
      </c>
      <c r="AF33" s="151"/>
      <c r="AG33" s="76"/>
      <c r="AH33" s="62"/>
      <c r="AI33" s="63"/>
      <c r="AJ33" s="151"/>
      <c r="AK33" s="76">
        <f t="shared" si="9"/>
        <v>31</v>
      </c>
      <c r="AL33" s="62">
        <v>50</v>
      </c>
      <c r="AM33" s="63">
        <v>110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10.76</v>
      </c>
      <c r="AU33" s="63">
        <v>70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1.25" x14ac:dyDescent="0.2">
      <c r="A35" s="46" t="s">
        <v>93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1.25" x14ac:dyDescent="0.2">
      <c r="A36" s="49" t="s">
        <v>149</v>
      </c>
      <c r="B36" s="47">
        <f>MAX(B3:B33)</f>
        <v>20.67</v>
      </c>
      <c r="C36" s="55">
        <f>MAX(C3:C33)</f>
        <v>350</v>
      </c>
      <c r="D36" s="152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52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52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52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52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52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52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52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52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52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52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52">
        <f>MAX(AV3:AV33)</f>
        <v>4.1666666666666664E-2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11.103636363636364</v>
      </c>
      <c r="C37" s="55">
        <f>IFERROR(AVERAGE(C3:C33),0)</f>
        <v>76.181818181818187</v>
      </c>
      <c r="D37" s="152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52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52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52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52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52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52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52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52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52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52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52">
        <f>IFERROR(AVERAGE(AV3:AV33),0)</f>
        <v>1.7291666666666664E-2</v>
      </c>
      <c r="AW37" s="67"/>
    </row>
    <row r="38" spans="1:49" s="49" customFormat="1" ht="11.25" x14ac:dyDescent="0.2">
      <c r="A38" s="49" t="s">
        <v>236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1394.27</v>
      </c>
      <c r="K39" s="51">
        <f t="shared" ref="K39:L39" si="12">SUM(C34,G34,K34)</f>
        <v>10537</v>
      </c>
      <c r="L39" s="170">
        <f t="shared" si="12"/>
        <v>142</v>
      </c>
      <c r="M39" s="168"/>
      <c r="P39" s="169"/>
      <c r="Q39" s="168"/>
      <c r="T39" s="169"/>
      <c r="U39" s="168"/>
      <c r="V39" s="50">
        <f>SUM(N34,R34,V34)</f>
        <v>1903.2299999999998</v>
      </c>
      <c r="W39" s="51">
        <f>SUM(O34,S34,W34)</f>
        <v>20790</v>
      </c>
      <c r="X39" s="170">
        <f>SUM(P34,T34,X34)</f>
        <v>101.20000000000002</v>
      </c>
      <c r="Y39" s="168"/>
      <c r="AB39" s="169"/>
      <c r="AC39" s="168"/>
      <c r="AF39" s="169"/>
      <c r="AG39" s="168"/>
      <c r="AH39" s="86">
        <f>SUM(Z34,AD34,AH34)</f>
        <v>1932.2399999999998</v>
      </c>
      <c r="AI39" s="51">
        <f>SUM(AA34,AE34,AI34)</f>
        <v>14309</v>
      </c>
      <c r="AJ39" s="170">
        <f>SUM(AB34,AF34,AJ34)</f>
        <v>78</v>
      </c>
      <c r="AK39" s="168"/>
      <c r="AN39" s="169"/>
      <c r="AO39" s="168"/>
      <c r="AR39" s="169"/>
      <c r="AS39" s="168"/>
      <c r="AT39" s="50">
        <f>SUM(AL34,AP34,AT34)</f>
        <v>1506.1800000000003</v>
      </c>
      <c r="AU39" s="51">
        <f>SUM(AM34,AQ34,AU34)</f>
        <v>6913</v>
      </c>
      <c r="AV39" s="170">
        <f>SUM(AN34,AR34,AV34)</f>
        <v>166.39999999999998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52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52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52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52">
        <f>IFERROR(AVERAGE(AN37,AR37,AV37),0)</f>
        <v>1.5925925925925923E-2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19.935633656925202</v>
      </c>
      <c r="C42" s="87">
        <f>AB1</f>
        <v>157.68830549968854</v>
      </c>
      <c r="D42" s="88"/>
      <c r="E42" s="176" t="s">
        <v>399</v>
      </c>
      <c r="F42" s="177">
        <f>SUM(J23:J33,N3:N33,R3:R33,V3:V33,Z3:Z33,AD3:AD33,AH3:AH23)</f>
        <v>3834.8000000000011</v>
      </c>
      <c r="G42" s="178">
        <f>SUM(K23:K33,O3:O32,S3:S33,W3:W32,AA3:AA33,AE3:AE33,AI3:AI23)</f>
        <v>35644</v>
      </c>
      <c r="H42" s="179"/>
      <c r="I42" s="179"/>
      <c r="J42" s="180">
        <f>IFERROR(F42/(F42+F43),0)</f>
        <v>0.5693060487654249</v>
      </c>
      <c r="K42" s="180">
        <f>IFERROR(G42/(G42+G43),0)</f>
        <v>0.6783002530971094</v>
      </c>
      <c r="L42" s="179"/>
      <c r="M42" s="259" t="s">
        <v>600</v>
      </c>
      <c r="N42" s="257">
        <v>76</v>
      </c>
      <c r="O42" s="78">
        <f>N42-'16'!N42</f>
        <v>30</v>
      </c>
      <c r="Y42" s="144"/>
      <c r="AK42" s="211" t="s">
        <v>478</v>
      </c>
      <c r="AL42" s="47">
        <f>MAX(B34,F34,J34,N34,R34,V34,Z34,AD34,AH34,AL34,AP34,AT34)</f>
        <v>716.66</v>
      </c>
      <c r="AM42" s="212">
        <f>MAX(C34,G34,K34,O34,S34,W34,AA34,AE34,AI34,AM34,AQ34,AU34)</f>
        <v>10132</v>
      </c>
      <c r="AN42" s="49" t="s">
        <v>346</v>
      </c>
      <c r="AO42" s="210" t="s">
        <v>344</v>
      </c>
      <c r="AP42" s="54">
        <f>R1-'16'!R1</f>
        <v>-125.79999999999998</v>
      </c>
      <c r="AQ42" s="78">
        <f>AF1-'16'!AF1</f>
        <v>515</v>
      </c>
      <c r="AR42" s="49" t="s">
        <v>345</v>
      </c>
      <c r="AS42" s="209" t="s">
        <v>344</v>
      </c>
      <c r="AT42" s="54">
        <f>I1-'16'!I1</f>
        <v>-50.72</v>
      </c>
      <c r="AU42" s="78">
        <f>AN1-'16'!AN1</f>
        <v>-60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18.454575342465752</v>
      </c>
      <c r="C43" s="87">
        <f>AU1/365</f>
        <v>143.96986301369864</v>
      </c>
      <c r="D43" s="88"/>
      <c r="E43" s="172" t="s">
        <v>400</v>
      </c>
      <c r="F43" s="173">
        <f>E1-F42</f>
        <v>2901.119999999999</v>
      </c>
      <c r="G43" s="174">
        <f>AU1-G42</f>
        <v>16905</v>
      </c>
      <c r="H43" s="175"/>
      <c r="I43" s="175"/>
      <c r="J43" s="181">
        <f>IFERROR(F43/(F42+F43),0)</f>
        <v>0.4306939512345751</v>
      </c>
      <c r="K43" s="181">
        <f>IFERROR(G43/(G42+G43),0)</f>
        <v>0.32169974690289066</v>
      </c>
      <c r="L43" s="175"/>
      <c r="M43" s="65" t="s">
        <v>601</v>
      </c>
      <c r="N43" s="258">
        <v>8</v>
      </c>
      <c r="O43" s="78">
        <f>N43-'16'!N43</f>
        <v>0</v>
      </c>
      <c r="Y43" s="67"/>
      <c r="AK43" s="213" t="s">
        <v>481</v>
      </c>
      <c r="AL43" s="188">
        <f>IF($B$1&lt;&gt;0,$AV$35/$B1,0)</f>
        <v>6.7501716614614488E-2</v>
      </c>
      <c r="AO43" s="209" t="s">
        <v>344</v>
      </c>
      <c r="AP43" s="54">
        <f>AV35-'16'!AV35</f>
        <v>34.800000000000011</v>
      </c>
      <c r="AQ43" s="188">
        <f>AL43-'16'!AL43</f>
        <v>1.1240234917302E-2</v>
      </c>
      <c r="AR43" s="49" t="s">
        <v>204</v>
      </c>
      <c r="AS43" s="209" t="s">
        <v>344</v>
      </c>
      <c r="AT43" s="54">
        <f>B1-'16'!B1</f>
        <v>-824.61499999999887</v>
      </c>
      <c r="AU43" s="78">
        <f>AU1-'16'!AU1</f>
        <v>-5851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95" priority="100" operator="equal">
      <formula>$R$1</formula>
    </cfRule>
    <cfRule type="cellIs" dxfId="194" priority="101" operator="equal">
      <formula>$M$1</formula>
    </cfRule>
  </conditionalFormatting>
  <conditionalFormatting sqref="C34 G34 K34 O34 S34 W34 AA34 AE34 AI34 AM34 AQ34 AU34">
    <cfRule type="cellIs" dxfId="193" priority="99" operator="equal">
      <formula>$AF$1</formula>
    </cfRule>
    <cfRule type="cellIs" dxfId="192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91" priority="96" operator="lessThan">
      <formula>0</formula>
    </cfRule>
    <cfRule type="cellIs" dxfId="190" priority="97" operator="greaterThanOrEqual">
      <formula>0</formula>
    </cfRule>
  </conditionalFormatting>
  <conditionalFormatting sqref="C38 AU42:AU43 AQ42 G38 K38 O38 S38 W38 AA38 AE38 AI38 AM38 AQ38 AU38">
    <cfRule type="cellIs" dxfId="189" priority="94" operator="lessThan">
      <formula>0</formula>
    </cfRule>
    <cfRule type="cellIs" dxfId="188" priority="95" operator="greaterThanOrEqual">
      <formula>0</formula>
    </cfRule>
  </conditionalFormatting>
  <conditionalFormatting sqref="D38">
    <cfRule type="cellIs" dxfId="187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86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85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84" priority="70" operator="equal">
      <formula>MAX($D$36,$H$36,$L$36,$P$36,$T$36,$X$36,$AB$36,$AF$36,$AJ$36,$AN$36,$AR$36,$AV$36)</formula>
    </cfRule>
  </conditionalFormatting>
  <conditionalFormatting sqref="AP43">
    <cfRule type="cellIs" dxfId="183" priority="68" operator="lessThan">
      <formula>0</formula>
    </cfRule>
    <cfRule type="cellIs" dxfId="182" priority="69" operator="greaterThanOrEqual">
      <formula>0</formula>
    </cfRule>
  </conditionalFormatting>
  <conditionalFormatting sqref="AQ43">
    <cfRule type="cellIs" dxfId="181" priority="66" stopIfTrue="1" operator="lessThan">
      <formula>0</formula>
    </cfRule>
    <cfRule type="cellIs" dxfId="180" priority="67" operator="greaterThanOrEqual">
      <formula>0</formula>
    </cfRule>
  </conditionalFormatting>
  <conditionalFormatting sqref="AL42">
    <cfRule type="cellIs" dxfId="179" priority="61" stopIfTrue="1" operator="lessThan">
      <formula>1000</formula>
    </cfRule>
    <cfRule type="cellIs" dxfId="178" priority="62" stopIfTrue="1" operator="lessThan">
      <formula>1100</formula>
    </cfRule>
    <cfRule type="cellIs" dxfId="177" priority="63" stopIfTrue="1" operator="lessThan">
      <formula>9999</formula>
    </cfRule>
  </conditionalFormatting>
  <conditionalFormatting sqref="AM42">
    <cfRule type="cellIs" dxfId="176" priority="58" stopIfTrue="1" operator="lessThan">
      <formula>10000</formula>
    </cfRule>
    <cfRule type="cellIs" dxfId="175" priority="59" stopIfTrue="1" operator="lessThan">
      <formula>13000</formula>
    </cfRule>
    <cfRule type="cellIs" dxfId="174" priority="60" stopIfTrue="1" operator="lessThan">
      <formula>99999</formula>
    </cfRule>
  </conditionalFormatting>
  <conditionalFormatting sqref="AL43">
    <cfRule type="cellIs" dxfId="173" priority="55" stopIfTrue="1" operator="lessThan">
      <formula>0.05</formula>
    </cfRule>
    <cfRule type="cellIs" dxfId="172" priority="56" stopIfTrue="1" operator="lessThan">
      <formula>0.1</formula>
    </cfRule>
    <cfRule type="cellIs" dxfId="171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70" priority="82" stopIfTrue="1" operator="between">
      <formula>0</formula>
      <formula>0.0416550925925926</formula>
    </cfRule>
    <cfRule type="cellIs" dxfId="169" priority="83" stopIfTrue="1" operator="between">
      <formula>0.0416666666666667</formula>
      <formula>0.0833217592592593</formula>
    </cfRule>
    <cfRule type="cellIs" dxfId="168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67" priority="88" stopIfTrue="1" operator="between">
      <formula>0</formula>
      <formula>749.99</formula>
    </cfRule>
    <cfRule type="cellIs" dxfId="166" priority="89" stopIfTrue="1" operator="greaterThanOrEqual">
      <formula>1500</formula>
    </cfRule>
    <cfRule type="cellIs" dxfId="165" priority="90" operator="greaterThanOrEqual">
      <formula>750</formula>
    </cfRule>
  </conditionalFormatting>
  <conditionalFormatting sqref="B3:B33 F3:F33 J3:J33 R3:R33 V3:V33 Z3:Z33 AT3:AT33 AH3:AH33 AL3:AL33 AP3:AP33 N3:N33 AD3:AD33">
    <cfRule type="cellIs" dxfId="164" priority="91" stopIfTrue="1" operator="lessThan">
      <formula>50</formula>
    </cfRule>
    <cfRule type="cellIs" dxfId="163" priority="92" stopIfTrue="1" operator="greaterThanOrEqual">
      <formula>100</formula>
    </cfRule>
    <cfRule type="cellIs" dxfId="162" priority="93" operator="greaterThanOrEqual">
      <formula>50</formula>
    </cfRule>
  </conditionalFormatting>
  <conditionalFormatting sqref="O42">
    <cfRule type="cellIs" dxfId="161" priority="7" operator="lessThan">
      <formula>0</formula>
    </cfRule>
    <cfRule type="cellIs" dxfId="160" priority="8" operator="greaterThanOrEqual">
      <formula>0</formula>
    </cfRule>
  </conditionalFormatting>
  <conditionalFormatting sqref="O42">
    <cfRule type="cellIs" dxfId="159" priority="5" operator="lessThan">
      <formula>0</formula>
    </cfRule>
    <cfRule type="cellIs" dxfId="158" priority="6" operator="greaterThanOrEqual">
      <formula>0</formula>
    </cfRule>
  </conditionalFormatting>
  <conditionalFormatting sqref="O43">
    <cfRule type="cellIs" dxfId="157" priority="3" operator="lessThan">
      <formula>0</formula>
    </cfRule>
    <cfRule type="cellIs" dxfId="156" priority="4" operator="greaterThanOrEqual">
      <formula>0</formula>
    </cfRule>
  </conditionalFormatting>
  <conditionalFormatting sqref="O43">
    <cfRule type="cellIs" dxfId="155" priority="1" operator="lessThan">
      <formula>0</formula>
    </cfRule>
    <cfRule type="cellIs" dxfId="154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82">
        <f>AT35+AV35</f>
        <v>6014.5499999999993</v>
      </c>
      <c r="C1" s="382"/>
      <c r="D1" s="83" t="s">
        <v>238</v>
      </c>
      <c r="E1" s="383">
        <f>AT35</f>
        <v>5778.15</v>
      </c>
      <c r="F1" s="383"/>
      <c r="G1" s="384" t="s">
        <v>152</v>
      </c>
      <c r="H1" s="384"/>
      <c r="I1" s="380">
        <f>MAX(B36,F36,J36,N36,R36,V36,Z36,AD36,AH36,AL36,AP36,AT36)</f>
        <v>90.83</v>
      </c>
      <c r="J1" s="380"/>
      <c r="K1" s="385" t="s">
        <v>159</v>
      </c>
      <c r="L1" s="385"/>
      <c r="M1" s="386">
        <f>MAX(B34,F34,J34,N34,R34,V34,Z34,AD34,AH34,AL34,AP34,AT34)</f>
        <v>648.05999999999995</v>
      </c>
      <c r="N1" s="386"/>
      <c r="O1" s="379" t="s">
        <v>190</v>
      </c>
      <c r="P1" s="379"/>
      <c r="Q1" s="379"/>
      <c r="R1" s="149">
        <f>MIN(B34,F34,J34,N34,R34,V34,Z34,AD34,AH34,AL34,AP34,AT34)</f>
        <v>288.46999999999997</v>
      </c>
      <c r="S1" s="84" t="s">
        <v>207</v>
      </c>
      <c r="T1" s="372">
        <f>IFERROR(AVERAGE(B37,F37,J37,N37,R37,V37,Z37,AD37,AH37,AL37,AP37,AT37),0)</f>
        <v>17.438365124977199</v>
      </c>
      <c r="U1" s="372"/>
      <c r="V1" s="395" t="s">
        <v>881</v>
      </c>
      <c r="W1" s="395"/>
      <c r="X1" s="395"/>
      <c r="Y1" s="395"/>
      <c r="Z1" s="395"/>
      <c r="AA1" s="85" t="s">
        <v>207</v>
      </c>
      <c r="AB1" s="381">
        <f>IFERROR(AVERAGE(C37,G37,K37,O37,S37,W37,AA37,AE37,AI37,AM37,AQ37,AU37),0)</f>
        <v>136.21705713401113</v>
      </c>
      <c r="AC1" s="381"/>
      <c r="AD1" s="371" t="s">
        <v>190</v>
      </c>
      <c r="AE1" s="371"/>
      <c r="AF1" s="374">
        <f>MIN(C34,G34,K34,O34,S34,W34,AA34,AE34,AI34,AM34,AQ34,AU34)</f>
        <v>1627</v>
      </c>
      <c r="AG1" s="374"/>
      <c r="AH1" s="375" t="s">
        <v>159</v>
      </c>
      <c r="AI1" s="375"/>
      <c r="AJ1" s="376">
        <f>MAX(C34,G34,K34,O34,S34,W34,AA34,AE34,AI34,AM34,AQ34,AU34)</f>
        <v>6601</v>
      </c>
      <c r="AK1" s="376"/>
      <c r="AL1" s="378" t="s">
        <v>153</v>
      </c>
      <c r="AM1" s="378"/>
      <c r="AN1" s="377">
        <f>MAX(C36,G36,K36,O36,S36,W36,AA36,AE36,AI36,AM36,AQ36,AU36)</f>
        <v>2147</v>
      </c>
      <c r="AO1" s="377"/>
      <c r="AP1" s="367" t="s">
        <v>361</v>
      </c>
      <c r="AQ1" s="367"/>
      <c r="AR1" s="368">
        <f>MAX(D36,H36,L36,P36,T36,X36,AB36,AF36,AJ36,AN36,AR36,AV36)</f>
        <v>6.25E-2</v>
      </c>
      <c r="AS1" s="368"/>
      <c r="AT1" s="81" t="s">
        <v>2</v>
      </c>
      <c r="AU1" s="369">
        <f>AU35</f>
        <v>44661</v>
      </c>
      <c r="AV1" s="370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13.96</v>
      </c>
      <c r="C3" s="55">
        <v>140</v>
      </c>
      <c r="D3" s="150"/>
      <c r="E3" s="75">
        <v>1</v>
      </c>
      <c r="F3" s="54">
        <v>11.539999999999997</v>
      </c>
      <c r="G3" s="55">
        <v>50</v>
      </c>
      <c r="H3" s="150"/>
      <c r="I3" s="75">
        <v>1</v>
      </c>
      <c r="J3" s="54"/>
      <c r="K3" s="55"/>
      <c r="L3" s="150"/>
      <c r="M3" s="75">
        <v>1</v>
      </c>
      <c r="N3" s="54">
        <v>10</v>
      </c>
      <c r="O3" s="55">
        <v>3</v>
      </c>
      <c r="P3" s="150">
        <v>2.0833333333333332E-2</v>
      </c>
      <c r="Q3" s="75">
        <v>1</v>
      </c>
      <c r="R3" s="54">
        <v>20.93</v>
      </c>
      <c r="S3" s="55">
        <v>435</v>
      </c>
      <c r="T3" s="150"/>
      <c r="U3" s="75">
        <v>1</v>
      </c>
      <c r="V3" s="54">
        <v>11.24</v>
      </c>
      <c r="W3" s="55">
        <v>174</v>
      </c>
      <c r="X3" s="150"/>
      <c r="Y3" s="75">
        <v>1</v>
      </c>
      <c r="Z3" s="54">
        <v>25.82</v>
      </c>
      <c r="AA3" s="55">
        <v>152</v>
      </c>
      <c r="AB3" s="150"/>
      <c r="AC3" s="75">
        <v>1</v>
      </c>
      <c r="AD3" s="54">
        <v>5</v>
      </c>
      <c r="AE3" s="55">
        <v>3</v>
      </c>
      <c r="AF3" s="150"/>
      <c r="AG3" s="75">
        <v>1</v>
      </c>
      <c r="AH3" s="54">
        <v>16.43</v>
      </c>
      <c r="AI3" s="55">
        <v>338</v>
      </c>
      <c r="AJ3" s="150"/>
      <c r="AK3" s="75">
        <v>1</v>
      </c>
      <c r="AL3" s="54">
        <v>10.07</v>
      </c>
      <c r="AM3" s="55">
        <v>30</v>
      </c>
      <c r="AN3" s="150"/>
      <c r="AO3" s="75">
        <v>1</v>
      </c>
      <c r="AP3" s="54">
        <v>34.659999999999997</v>
      </c>
      <c r="AQ3" s="55">
        <v>45</v>
      </c>
      <c r="AR3" s="150"/>
      <c r="AS3" s="75">
        <v>1</v>
      </c>
      <c r="AT3" s="54">
        <v>37.96</v>
      </c>
      <c r="AU3" s="55">
        <v>85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7.87</v>
      </c>
      <c r="C4" s="55">
        <v>10</v>
      </c>
      <c r="D4" s="150"/>
      <c r="E4" s="75">
        <f t="shared" ref="E4:E30" si="1">E3+1</f>
        <v>2</v>
      </c>
      <c r="F4" s="54">
        <v>10.6</v>
      </c>
      <c r="G4" s="55">
        <v>35</v>
      </c>
      <c r="H4" s="150"/>
      <c r="I4" s="75">
        <f t="shared" ref="I4:I33" si="2">I3+1</f>
        <v>2</v>
      </c>
      <c r="J4" s="54">
        <v>10.5</v>
      </c>
      <c r="K4" s="55">
        <v>75</v>
      </c>
      <c r="L4" s="150"/>
      <c r="M4" s="75">
        <f t="shared" ref="M4:M32" si="3">M3+1</f>
        <v>2</v>
      </c>
      <c r="N4" s="54">
        <v>16.419999999999998</v>
      </c>
      <c r="O4" s="55">
        <v>162</v>
      </c>
      <c r="P4" s="150"/>
      <c r="Q4" s="75">
        <f t="shared" ref="Q4:Q33" si="4">Q3+1</f>
        <v>2</v>
      </c>
      <c r="R4" s="54">
        <v>14.5</v>
      </c>
      <c r="S4" s="55">
        <v>130</v>
      </c>
      <c r="T4" s="150"/>
      <c r="U4" s="75">
        <f t="shared" ref="U4:U32" si="5">U3+1</f>
        <v>2</v>
      </c>
      <c r="V4" s="54">
        <v>5.61</v>
      </c>
      <c r="W4" s="55">
        <v>5</v>
      </c>
      <c r="X4" s="150"/>
      <c r="Y4" s="75">
        <f t="shared" ref="Y4:Y33" si="6">Y3+1</f>
        <v>2</v>
      </c>
      <c r="Z4" s="54">
        <v>26.08</v>
      </c>
      <c r="AA4" s="55">
        <v>175</v>
      </c>
      <c r="AB4" s="150"/>
      <c r="AC4" s="75">
        <f t="shared" ref="AC4:AC33" si="7">AC3+1</f>
        <v>2</v>
      </c>
      <c r="AD4" s="54">
        <v>10</v>
      </c>
      <c r="AE4" s="55">
        <v>20</v>
      </c>
      <c r="AF4" s="150"/>
      <c r="AG4" s="75">
        <f>AG3+1</f>
        <v>2</v>
      </c>
      <c r="AH4" s="54">
        <v>10.1</v>
      </c>
      <c r="AI4" s="55">
        <v>20</v>
      </c>
      <c r="AJ4" s="150">
        <v>6.25E-2</v>
      </c>
      <c r="AK4" s="75">
        <f>AK3+1</f>
        <v>2</v>
      </c>
      <c r="AL4" s="54">
        <v>9.5</v>
      </c>
      <c r="AM4" s="55">
        <v>10</v>
      </c>
      <c r="AN4" s="150"/>
      <c r="AO4" s="75">
        <f>AO3+1</f>
        <v>2</v>
      </c>
      <c r="AP4" s="54">
        <v>10.38</v>
      </c>
      <c r="AQ4" s="55">
        <v>20</v>
      </c>
      <c r="AR4" s="150"/>
      <c r="AS4" s="75">
        <f>AS3+1</f>
        <v>2</v>
      </c>
      <c r="AT4" s="54">
        <v>14.71</v>
      </c>
      <c r="AU4" s="55">
        <v>55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10</v>
      </c>
      <c r="C5" s="55">
        <v>25</v>
      </c>
      <c r="D5" s="150"/>
      <c r="E5" s="75">
        <f t="shared" si="1"/>
        <v>3</v>
      </c>
      <c r="F5" s="54">
        <v>13.1</v>
      </c>
      <c r="G5" s="55">
        <v>33</v>
      </c>
      <c r="H5" s="150"/>
      <c r="I5" s="75">
        <f t="shared" si="2"/>
        <v>3</v>
      </c>
      <c r="J5" s="54">
        <v>12.05</v>
      </c>
      <c r="K5" s="55">
        <v>15</v>
      </c>
      <c r="L5" s="150"/>
      <c r="M5" s="75">
        <f t="shared" si="3"/>
        <v>3</v>
      </c>
      <c r="N5" s="54">
        <v>10</v>
      </c>
      <c r="O5" s="55">
        <v>40</v>
      </c>
      <c r="P5" s="150"/>
      <c r="Q5" s="75">
        <f t="shared" si="4"/>
        <v>3</v>
      </c>
      <c r="R5" s="54">
        <v>10.8</v>
      </c>
      <c r="S5" s="55">
        <v>85</v>
      </c>
      <c r="T5" s="150"/>
      <c r="U5" s="75">
        <f t="shared" si="5"/>
        <v>3</v>
      </c>
      <c r="V5" s="54">
        <v>20.12</v>
      </c>
      <c r="W5" s="55">
        <v>108</v>
      </c>
      <c r="X5" s="150"/>
      <c r="Y5" s="75">
        <f t="shared" si="6"/>
        <v>3</v>
      </c>
      <c r="Z5" s="54">
        <v>5.18</v>
      </c>
      <c r="AA5" s="55">
        <v>3</v>
      </c>
      <c r="AB5" s="150"/>
      <c r="AC5" s="75">
        <f t="shared" si="7"/>
        <v>3</v>
      </c>
      <c r="AD5" s="54">
        <v>10.69</v>
      </c>
      <c r="AE5" s="55">
        <v>20</v>
      </c>
      <c r="AF5" s="150"/>
      <c r="AG5" s="75">
        <f t="shared" ref="AG5:AG32" si="8">AG4+1</f>
        <v>3</v>
      </c>
      <c r="AH5" s="54">
        <v>10.199999999999999</v>
      </c>
      <c r="AI5" s="55">
        <v>120</v>
      </c>
      <c r="AJ5" s="150"/>
      <c r="AK5" s="75">
        <f t="shared" ref="AK5:AK33" si="9">AK4+1</f>
        <v>3</v>
      </c>
      <c r="AL5" s="54">
        <v>25.1</v>
      </c>
      <c r="AM5" s="55">
        <v>140</v>
      </c>
      <c r="AN5" s="150"/>
      <c r="AO5" s="75">
        <f t="shared" ref="AO5:AO32" si="10">AO4+1</f>
        <v>3</v>
      </c>
      <c r="AP5" s="54">
        <v>66.66</v>
      </c>
      <c r="AQ5" s="55">
        <v>130</v>
      </c>
      <c r="AR5" s="150"/>
      <c r="AS5" s="75">
        <f t="shared" ref="AS5:AS33" si="11">AS4+1</f>
        <v>3</v>
      </c>
      <c r="AT5" s="54">
        <v>5.2</v>
      </c>
      <c r="AU5" s="55">
        <v>3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5.2</v>
      </c>
      <c r="C6" s="55">
        <v>3</v>
      </c>
      <c r="D6" s="150"/>
      <c r="E6" s="75">
        <f t="shared" si="1"/>
        <v>4</v>
      </c>
      <c r="F6" s="54"/>
      <c r="G6" s="55"/>
      <c r="H6" s="150">
        <v>1.0416666666666666E-2</v>
      </c>
      <c r="I6" s="75">
        <f t="shared" si="2"/>
        <v>4</v>
      </c>
      <c r="J6" s="54">
        <v>25.76</v>
      </c>
      <c r="K6" s="55">
        <v>292</v>
      </c>
      <c r="L6" s="150">
        <v>2.0833333333333332E-2</v>
      </c>
      <c r="M6" s="75">
        <f t="shared" si="3"/>
        <v>4</v>
      </c>
      <c r="N6" s="54">
        <v>11.3</v>
      </c>
      <c r="O6" s="55">
        <v>60</v>
      </c>
      <c r="P6" s="150"/>
      <c r="Q6" s="75">
        <f t="shared" si="4"/>
        <v>4</v>
      </c>
      <c r="R6" s="54">
        <v>12.3</v>
      </c>
      <c r="S6" s="55">
        <v>211</v>
      </c>
      <c r="T6" s="150"/>
      <c r="U6" s="75">
        <f t="shared" si="5"/>
        <v>4</v>
      </c>
      <c r="V6" s="54">
        <v>20.22</v>
      </c>
      <c r="W6" s="55">
        <v>40</v>
      </c>
      <c r="X6" s="150"/>
      <c r="Y6" s="75">
        <f t="shared" si="6"/>
        <v>4</v>
      </c>
      <c r="Z6" s="54">
        <v>8.16</v>
      </c>
      <c r="AA6" s="55">
        <v>20</v>
      </c>
      <c r="AB6" s="150"/>
      <c r="AC6" s="75">
        <f t="shared" si="7"/>
        <v>4</v>
      </c>
      <c r="AD6" s="54">
        <v>56.7</v>
      </c>
      <c r="AE6" s="55">
        <v>315</v>
      </c>
      <c r="AF6" s="150"/>
      <c r="AG6" s="75">
        <f t="shared" si="8"/>
        <v>4</v>
      </c>
      <c r="AH6" s="54"/>
      <c r="AI6" s="55"/>
      <c r="AJ6" s="150"/>
      <c r="AK6" s="75">
        <f t="shared" si="9"/>
        <v>4</v>
      </c>
      <c r="AL6" s="54">
        <v>10.5</v>
      </c>
      <c r="AM6" s="55">
        <v>40</v>
      </c>
      <c r="AN6" s="150"/>
      <c r="AO6" s="75">
        <f t="shared" si="10"/>
        <v>4</v>
      </c>
      <c r="AP6" s="54">
        <v>11.44</v>
      </c>
      <c r="AQ6" s="55">
        <v>6</v>
      </c>
      <c r="AR6" s="150"/>
      <c r="AS6" s="75">
        <f t="shared" si="11"/>
        <v>4</v>
      </c>
      <c r="AT6" s="54">
        <v>11.6</v>
      </c>
      <c r="AU6" s="55">
        <v>45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15.5</v>
      </c>
      <c r="C7" s="55">
        <v>150</v>
      </c>
      <c r="D7" s="150"/>
      <c r="E7" s="75">
        <f t="shared" si="1"/>
        <v>5</v>
      </c>
      <c r="F7" s="54">
        <v>12.88</v>
      </c>
      <c r="G7" s="55">
        <v>33</v>
      </c>
      <c r="H7" s="150">
        <v>1.0416666666666666E-2</v>
      </c>
      <c r="I7" s="75">
        <f t="shared" si="2"/>
        <v>5</v>
      </c>
      <c r="J7" s="54">
        <v>10.4</v>
      </c>
      <c r="K7" s="55">
        <v>10</v>
      </c>
      <c r="L7" s="150"/>
      <c r="M7" s="75">
        <f t="shared" si="3"/>
        <v>5</v>
      </c>
      <c r="N7" s="54">
        <v>12.8</v>
      </c>
      <c r="O7" s="55">
        <v>120</v>
      </c>
      <c r="P7" s="150"/>
      <c r="Q7" s="75">
        <f t="shared" si="4"/>
        <v>5</v>
      </c>
      <c r="R7" s="54">
        <v>29.79</v>
      </c>
      <c r="S7" s="55">
        <v>441</v>
      </c>
      <c r="T7" s="150"/>
      <c r="U7" s="75">
        <f t="shared" si="5"/>
        <v>5</v>
      </c>
      <c r="V7" s="54"/>
      <c r="W7" s="55"/>
      <c r="X7" s="150"/>
      <c r="Y7" s="75">
        <f t="shared" si="6"/>
        <v>5</v>
      </c>
      <c r="Z7" s="54">
        <v>8.11</v>
      </c>
      <c r="AA7" s="55">
        <v>25</v>
      </c>
      <c r="AB7" s="150"/>
      <c r="AC7" s="75">
        <f t="shared" si="7"/>
        <v>5</v>
      </c>
      <c r="AD7" s="54">
        <v>20.420000000000002</v>
      </c>
      <c r="AE7" s="55">
        <v>125</v>
      </c>
      <c r="AF7" s="150"/>
      <c r="AG7" s="75">
        <f t="shared" si="8"/>
        <v>5</v>
      </c>
      <c r="AH7" s="54">
        <v>11.06</v>
      </c>
      <c r="AI7" s="55">
        <v>155</v>
      </c>
      <c r="AJ7" s="150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50"/>
      <c r="AO7" s="75">
        <f t="shared" si="10"/>
        <v>5</v>
      </c>
      <c r="AP7" s="54">
        <v>25.9</v>
      </c>
      <c r="AQ7" s="55">
        <v>584</v>
      </c>
      <c r="AR7" s="150"/>
      <c r="AS7" s="75">
        <f t="shared" si="11"/>
        <v>5</v>
      </c>
      <c r="AT7" s="54">
        <v>16.5</v>
      </c>
      <c r="AU7" s="55">
        <v>52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19.5</v>
      </c>
      <c r="C8" s="55">
        <v>55</v>
      </c>
      <c r="D8" s="150"/>
      <c r="E8" s="75">
        <f t="shared" si="1"/>
        <v>6</v>
      </c>
      <c r="F8" s="54">
        <v>6.45</v>
      </c>
      <c r="G8" s="55">
        <v>10</v>
      </c>
      <c r="H8" s="150"/>
      <c r="I8" s="75">
        <f t="shared" si="2"/>
        <v>6</v>
      </c>
      <c r="J8" s="54">
        <v>10.07</v>
      </c>
      <c r="K8" s="55">
        <v>40</v>
      </c>
      <c r="L8" s="150"/>
      <c r="M8" s="75">
        <f t="shared" si="3"/>
        <v>6</v>
      </c>
      <c r="N8" s="54">
        <v>14.58</v>
      </c>
      <c r="O8" s="55">
        <v>100</v>
      </c>
      <c r="P8" s="150"/>
      <c r="Q8" s="75">
        <f t="shared" si="4"/>
        <v>6</v>
      </c>
      <c r="R8" s="54">
        <v>15.23</v>
      </c>
      <c r="S8" s="55">
        <v>125</v>
      </c>
      <c r="T8" s="150"/>
      <c r="U8" s="75">
        <f t="shared" si="5"/>
        <v>6</v>
      </c>
      <c r="V8" s="54">
        <v>21.67</v>
      </c>
      <c r="W8" s="55">
        <v>45</v>
      </c>
      <c r="X8" s="150"/>
      <c r="Y8" s="75">
        <f t="shared" si="6"/>
        <v>6</v>
      </c>
      <c r="Z8" s="54">
        <v>11.8</v>
      </c>
      <c r="AA8" s="55">
        <v>16</v>
      </c>
      <c r="AB8" s="150"/>
      <c r="AC8" s="75">
        <f t="shared" si="7"/>
        <v>6</v>
      </c>
      <c r="AD8" s="54">
        <v>6.23</v>
      </c>
      <c r="AE8" s="55">
        <v>5</v>
      </c>
      <c r="AF8" s="150"/>
      <c r="AG8" s="75">
        <f t="shared" si="8"/>
        <v>6</v>
      </c>
      <c r="AH8" s="54">
        <v>11.15</v>
      </c>
      <c r="AI8" s="55">
        <v>40</v>
      </c>
      <c r="AJ8" s="150"/>
      <c r="AK8" s="75">
        <f t="shared" si="9"/>
        <v>6</v>
      </c>
      <c r="AL8" s="54">
        <v>52.06</v>
      </c>
      <c r="AM8" s="55">
        <v>390</v>
      </c>
      <c r="AN8" s="150"/>
      <c r="AO8" s="75">
        <f t="shared" si="10"/>
        <v>6</v>
      </c>
      <c r="AP8" s="54"/>
      <c r="AQ8" s="55"/>
      <c r="AR8" s="150"/>
      <c r="AS8" s="75">
        <f t="shared" si="11"/>
        <v>6</v>
      </c>
      <c r="AT8" s="54">
        <v>12.1</v>
      </c>
      <c r="AU8" s="55">
        <v>35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10.76</v>
      </c>
      <c r="C9" s="55">
        <v>72</v>
      </c>
      <c r="D9" s="150">
        <v>4.5138888888888888E-2</v>
      </c>
      <c r="E9" s="75">
        <f t="shared" si="1"/>
        <v>7</v>
      </c>
      <c r="F9" s="54">
        <v>10.25</v>
      </c>
      <c r="G9" s="55">
        <v>35</v>
      </c>
      <c r="H9" s="150"/>
      <c r="I9" s="75">
        <f t="shared" si="2"/>
        <v>7</v>
      </c>
      <c r="J9" s="54">
        <v>8</v>
      </c>
      <c r="K9" s="55">
        <v>15</v>
      </c>
      <c r="L9" s="150"/>
      <c r="M9" s="75">
        <f t="shared" si="3"/>
        <v>7</v>
      </c>
      <c r="N9" s="54">
        <v>10</v>
      </c>
      <c r="O9" s="55">
        <v>340</v>
      </c>
      <c r="P9" s="150"/>
      <c r="Q9" s="75">
        <f t="shared" si="4"/>
        <v>7</v>
      </c>
      <c r="R9" s="54">
        <v>18.7</v>
      </c>
      <c r="S9" s="55">
        <v>230</v>
      </c>
      <c r="T9" s="150"/>
      <c r="U9" s="75">
        <f t="shared" si="5"/>
        <v>7</v>
      </c>
      <c r="V9" s="54">
        <v>10.25</v>
      </c>
      <c r="W9" s="55">
        <v>40</v>
      </c>
      <c r="X9" s="150"/>
      <c r="Y9" s="75">
        <f t="shared" si="6"/>
        <v>7</v>
      </c>
      <c r="Z9" s="54">
        <v>23.6</v>
      </c>
      <c r="AA9" s="55">
        <v>167</v>
      </c>
      <c r="AB9" s="150"/>
      <c r="AC9" s="75">
        <f t="shared" si="7"/>
        <v>7</v>
      </c>
      <c r="AD9" s="54">
        <v>6.54</v>
      </c>
      <c r="AE9" s="55">
        <v>30</v>
      </c>
      <c r="AF9" s="150"/>
      <c r="AG9" s="75">
        <f t="shared" si="8"/>
        <v>7</v>
      </c>
      <c r="AH9" s="54">
        <v>20.100000000000001</v>
      </c>
      <c r="AI9" s="55">
        <v>60</v>
      </c>
      <c r="AJ9" s="150"/>
      <c r="AK9" s="75">
        <f t="shared" si="9"/>
        <v>7</v>
      </c>
      <c r="AL9" s="54">
        <v>15.73</v>
      </c>
      <c r="AM9" s="55">
        <v>48</v>
      </c>
      <c r="AN9" s="150"/>
      <c r="AO9" s="75">
        <f t="shared" si="10"/>
        <v>7</v>
      </c>
      <c r="AP9" s="54">
        <v>10.6</v>
      </c>
      <c r="AQ9" s="55">
        <v>350</v>
      </c>
      <c r="AR9" s="150"/>
      <c r="AS9" s="75">
        <f t="shared" si="11"/>
        <v>7</v>
      </c>
      <c r="AT9" s="54">
        <v>7.26</v>
      </c>
      <c r="AU9" s="55">
        <v>10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10.71</v>
      </c>
      <c r="C10" s="55">
        <v>30</v>
      </c>
      <c r="D10" s="150"/>
      <c r="E10" s="75">
        <f t="shared" si="1"/>
        <v>8</v>
      </c>
      <c r="F10" s="54">
        <v>10.1</v>
      </c>
      <c r="G10" s="55">
        <v>30</v>
      </c>
      <c r="H10" s="150"/>
      <c r="I10" s="75">
        <f t="shared" si="2"/>
        <v>8</v>
      </c>
      <c r="J10" s="54">
        <v>5</v>
      </c>
      <c r="K10" s="55">
        <v>3</v>
      </c>
      <c r="L10" s="150"/>
      <c r="M10" s="75">
        <f t="shared" si="3"/>
        <v>8</v>
      </c>
      <c r="N10" s="54">
        <v>56.52</v>
      </c>
      <c r="O10" s="55">
        <v>653</v>
      </c>
      <c r="P10" s="150"/>
      <c r="Q10" s="75">
        <f t="shared" si="4"/>
        <v>8</v>
      </c>
      <c r="R10" s="54">
        <v>7.5</v>
      </c>
      <c r="S10" s="55">
        <v>30</v>
      </c>
      <c r="T10" s="150"/>
      <c r="U10" s="75">
        <f t="shared" si="5"/>
        <v>8</v>
      </c>
      <c r="V10" s="54">
        <v>37.5</v>
      </c>
      <c r="W10" s="55">
        <v>70</v>
      </c>
      <c r="X10" s="150"/>
      <c r="Y10" s="75">
        <f t="shared" si="6"/>
        <v>8</v>
      </c>
      <c r="Z10" s="54">
        <v>90.490000000000009</v>
      </c>
      <c r="AA10" s="55">
        <v>951</v>
      </c>
      <c r="AB10" s="150"/>
      <c r="AC10" s="75">
        <f t="shared" si="7"/>
        <v>8</v>
      </c>
      <c r="AD10" s="54">
        <v>5.04</v>
      </c>
      <c r="AE10" s="55">
        <v>20</v>
      </c>
      <c r="AF10" s="150"/>
      <c r="AG10" s="75">
        <f t="shared" si="8"/>
        <v>8</v>
      </c>
      <c r="AH10" s="54">
        <v>53.86</v>
      </c>
      <c r="AI10" s="49">
        <v>842</v>
      </c>
      <c r="AJ10" s="150"/>
      <c r="AK10" s="75">
        <f t="shared" si="9"/>
        <v>8</v>
      </c>
      <c r="AL10" s="54">
        <v>10.67</v>
      </c>
      <c r="AM10" s="55">
        <v>53</v>
      </c>
      <c r="AN10" s="150"/>
      <c r="AO10" s="75">
        <f t="shared" si="10"/>
        <v>8</v>
      </c>
      <c r="AP10" s="54">
        <v>12.18</v>
      </c>
      <c r="AQ10" s="55">
        <v>40</v>
      </c>
      <c r="AR10" s="150"/>
      <c r="AS10" s="75">
        <f t="shared" si="11"/>
        <v>8</v>
      </c>
      <c r="AT10" s="54">
        <v>10.4</v>
      </c>
      <c r="AU10" s="55">
        <v>6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11.21</v>
      </c>
      <c r="C11" s="55">
        <v>90</v>
      </c>
      <c r="D11" s="150"/>
      <c r="E11" s="75">
        <f t="shared" si="1"/>
        <v>9</v>
      </c>
      <c r="F11" s="54">
        <v>11.14</v>
      </c>
      <c r="G11" s="55">
        <v>80</v>
      </c>
      <c r="H11" s="150"/>
      <c r="I11" s="75">
        <f t="shared" si="2"/>
        <v>9</v>
      </c>
      <c r="J11" s="54">
        <v>5.75</v>
      </c>
      <c r="K11" s="55">
        <v>3</v>
      </c>
      <c r="L11" s="150"/>
      <c r="M11" s="75">
        <f t="shared" si="3"/>
        <v>9</v>
      </c>
      <c r="N11" s="54">
        <v>10.4</v>
      </c>
      <c r="O11" s="55">
        <v>30</v>
      </c>
      <c r="P11" s="150"/>
      <c r="Q11" s="75">
        <f t="shared" si="4"/>
        <v>9</v>
      </c>
      <c r="R11" s="54">
        <v>27</v>
      </c>
      <c r="S11" s="55">
        <v>250</v>
      </c>
      <c r="T11" s="150"/>
      <c r="U11" s="75">
        <f t="shared" si="5"/>
        <v>9</v>
      </c>
      <c r="V11" s="54">
        <v>21.92</v>
      </c>
      <c r="W11" s="55">
        <v>30</v>
      </c>
      <c r="X11" s="150"/>
      <c r="Y11" s="75">
        <f t="shared" si="6"/>
        <v>9</v>
      </c>
      <c r="Z11" s="54">
        <v>6.7</v>
      </c>
      <c r="AA11" s="55">
        <v>25</v>
      </c>
      <c r="AB11" s="150"/>
      <c r="AC11" s="75">
        <f t="shared" si="7"/>
        <v>9</v>
      </c>
      <c r="AD11" s="54">
        <v>5.05</v>
      </c>
      <c r="AE11" s="55">
        <v>15</v>
      </c>
      <c r="AF11" s="150"/>
      <c r="AG11" s="75">
        <f t="shared" si="8"/>
        <v>9</v>
      </c>
      <c r="AH11" s="54"/>
      <c r="AI11" s="55"/>
      <c r="AJ11" s="150"/>
      <c r="AK11" s="75">
        <f t="shared" si="9"/>
        <v>9</v>
      </c>
      <c r="AL11" s="54"/>
      <c r="AM11" s="55"/>
      <c r="AN11" s="150"/>
      <c r="AO11" s="75">
        <f t="shared" si="10"/>
        <v>9</v>
      </c>
      <c r="AP11" s="54">
        <v>14.02</v>
      </c>
      <c r="AQ11" s="55">
        <v>50</v>
      </c>
      <c r="AR11" s="150"/>
      <c r="AS11" s="75">
        <f t="shared" si="11"/>
        <v>9</v>
      </c>
      <c r="AT11" s="54">
        <v>10.4</v>
      </c>
      <c r="AU11" s="55">
        <v>6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14.71</v>
      </c>
      <c r="C12" s="55">
        <v>155</v>
      </c>
      <c r="D12" s="150"/>
      <c r="E12" s="75">
        <f t="shared" si="1"/>
        <v>10</v>
      </c>
      <c r="F12" s="54">
        <v>23.44</v>
      </c>
      <c r="G12" s="55">
        <v>195</v>
      </c>
      <c r="H12" s="150"/>
      <c r="I12" s="75">
        <f t="shared" si="2"/>
        <v>10</v>
      </c>
      <c r="J12" s="54">
        <v>14.36</v>
      </c>
      <c r="K12" s="55">
        <v>240</v>
      </c>
      <c r="L12" s="150"/>
      <c r="M12" s="75">
        <f t="shared" si="3"/>
        <v>10</v>
      </c>
      <c r="N12" s="54">
        <v>13.33</v>
      </c>
      <c r="O12" s="55">
        <v>55</v>
      </c>
      <c r="P12" s="150"/>
      <c r="Q12" s="75">
        <f t="shared" si="4"/>
        <v>10</v>
      </c>
      <c r="R12" s="54">
        <v>66.81</v>
      </c>
      <c r="S12" s="55">
        <v>395</v>
      </c>
      <c r="T12" s="150"/>
      <c r="U12" s="75">
        <f t="shared" si="5"/>
        <v>10</v>
      </c>
      <c r="V12" s="54">
        <v>37</v>
      </c>
      <c r="W12" s="55">
        <v>910</v>
      </c>
      <c r="X12" s="150"/>
      <c r="Y12" s="75">
        <f t="shared" si="6"/>
        <v>10</v>
      </c>
      <c r="Z12" s="54"/>
      <c r="AA12" s="55"/>
      <c r="AB12" s="150"/>
      <c r="AC12" s="75">
        <f t="shared" si="7"/>
        <v>10</v>
      </c>
      <c r="AD12" s="54">
        <v>5.04</v>
      </c>
      <c r="AE12" s="55">
        <v>20</v>
      </c>
      <c r="AF12" s="150"/>
      <c r="AG12" s="75">
        <f t="shared" si="8"/>
        <v>10</v>
      </c>
      <c r="AH12" s="54">
        <v>10.15</v>
      </c>
      <c r="AI12" s="49">
        <v>25</v>
      </c>
      <c r="AJ12" s="150"/>
      <c r="AK12" s="75">
        <f t="shared" si="9"/>
        <v>10</v>
      </c>
      <c r="AL12" s="54">
        <v>18.05</v>
      </c>
      <c r="AM12" s="55">
        <v>75</v>
      </c>
      <c r="AN12" s="150"/>
      <c r="AO12" s="75">
        <f t="shared" si="10"/>
        <v>10</v>
      </c>
      <c r="AP12" s="54">
        <v>19.670000000000002</v>
      </c>
      <c r="AQ12" s="55">
        <v>357</v>
      </c>
      <c r="AR12" s="150"/>
      <c r="AS12" s="75">
        <f t="shared" si="11"/>
        <v>10</v>
      </c>
      <c r="AT12" s="54">
        <v>13.36</v>
      </c>
      <c r="AU12" s="55">
        <v>16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15.510000000000002</v>
      </c>
      <c r="C13" s="55">
        <v>120</v>
      </c>
      <c r="D13" s="150"/>
      <c r="E13" s="75">
        <f t="shared" si="1"/>
        <v>11</v>
      </c>
      <c r="F13" s="54">
        <v>24.84</v>
      </c>
      <c r="G13" s="55">
        <v>140</v>
      </c>
      <c r="H13" s="150"/>
      <c r="I13" s="75">
        <f t="shared" si="2"/>
        <v>11</v>
      </c>
      <c r="J13" s="54">
        <v>58.73</v>
      </c>
      <c r="K13" s="55">
        <v>431</v>
      </c>
      <c r="L13" s="150"/>
      <c r="M13" s="75">
        <f t="shared" si="3"/>
        <v>11</v>
      </c>
      <c r="N13" s="54">
        <v>11.3</v>
      </c>
      <c r="O13" s="55">
        <v>60</v>
      </c>
      <c r="P13" s="150"/>
      <c r="Q13" s="75">
        <f t="shared" si="4"/>
        <v>11</v>
      </c>
      <c r="R13" s="54">
        <v>11.75</v>
      </c>
      <c r="S13" s="55">
        <v>30</v>
      </c>
      <c r="T13" s="150"/>
      <c r="U13" s="75">
        <f t="shared" si="5"/>
        <v>11</v>
      </c>
      <c r="V13" s="54">
        <v>31.1</v>
      </c>
      <c r="W13" s="55">
        <v>115</v>
      </c>
      <c r="X13" s="150"/>
      <c r="Y13" s="75">
        <f t="shared" si="6"/>
        <v>11</v>
      </c>
      <c r="Z13" s="54">
        <v>10.25</v>
      </c>
      <c r="AA13" s="55">
        <v>160</v>
      </c>
      <c r="AB13" s="150"/>
      <c r="AC13" s="75">
        <f t="shared" si="7"/>
        <v>11</v>
      </c>
      <c r="AD13" s="54">
        <v>14.8</v>
      </c>
      <c r="AE13" s="55">
        <v>330</v>
      </c>
      <c r="AF13" s="150"/>
      <c r="AG13" s="75">
        <f t="shared" si="8"/>
        <v>11</v>
      </c>
      <c r="AH13" s="54">
        <v>10</v>
      </c>
      <c r="AI13" s="55">
        <v>5</v>
      </c>
      <c r="AJ13" s="150"/>
      <c r="AK13" s="75">
        <f t="shared" si="9"/>
        <v>11</v>
      </c>
      <c r="AL13" s="54">
        <v>11.02</v>
      </c>
      <c r="AM13" s="55">
        <v>200</v>
      </c>
      <c r="AN13" s="150"/>
      <c r="AO13" s="75">
        <f t="shared" si="10"/>
        <v>11</v>
      </c>
      <c r="AP13" s="54">
        <v>19.100000000000001</v>
      </c>
      <c r="AQ13" s="55">
        <v>113</v>
      </c>
      <c r="AR13" s="150"/>
      <c r="AS13" s="75">
        <f t="shared" si="11"/>
        <v>11</v>
      </c>
      <c r="AT13" s="54"/>
      <c r="AU13" s="55"/>
      <c r="AV13" s="150"/>
      <c r="AW13" s="67"/>
    </row>
    <row r="14" spans="1:49" s="49" customFormat="1" ht="11.25" x14ac:dyDescent="0.2">
      <c r="A14" s="73">
        <f t="shared" si="0"/>
        <v>12</v>
      </c>
      <c r="B14" s="54">
        <v>11.6</v>
      </c>
      <c r="C14" s="55">
        <v>45</v>
      </c>
      <c r="D14" s="150"/>
      <c r="E14" s="75">
        <f t="shared" si="1"/>
        <v>12</v>
      </c>
      <c r="F14" s="54">
        <v>13.83</v>
      </c>
      <c r="G14" s="55">
        <v>60</v>
      </c>
      <c r="H14" s="150"/>
      <c r="I14" s="75">
        <f t="shared" si="2"/>
        <v>12</v>
      </c>
      <c r="J14" s="54">
        <v>10.039999999999999</v>
      </c>
      <c r="K14" s="55">
        <v>40</v>
      </c>
      <c r="L14" s="150"/>
      <c r="M14" s="75">
        <f t="shared" si="3"/>
        <v>12</v>
      </c>
      <c r="N14" s="54">
        <v>10.55</v>
      </c>
      <c r="O14" s="55">
        <v>190</v>
      </c>
      <c r="P14" s="150"/>
      <c r="Q14" s="75">
        <f t="shared" si="4"/>
        <v>12</v>
      </c>
      <c r="R14" s="54">
        <v>18.57</v>
      </c>
      <c r="S14" s="55">
        <v>93</v>
      </c>
      <c r="T14" s="150"/>
      <c r="U14" s="75">
        <f t="shared" si="5"/>
        <v>12</v>
      </c>
      <c r="V14" s="54">
        <v>37</v>
      </c>
      <c r="W14" s="55">
        <v>910</v>
      </c>
      <c r="X14" s="150"/>
      <c r="Y14" s="75">
        <f t="shared" si="6"/>
        <v>12</v>
      </c>
      <c r="Z14" s="54">
        <v>11.66</v>
      </c>
      <c r="AA14" s="55">
        <v>105</v>
      </c>
      <c r="AB14" s="150"/>
      <c r="AC14" s="75">
        <f t="shared" si="7"/>
        <v>12</v>
      </c>
      <c r="AD14" s="54">
        <v>59.109999999999992</v>
      </c>
      <c r="AE14" s="78">
        <v>332</v>
      </c>
      <c r="AF14" s="150"/>
      <c r="AG14" s="75">
        <f t="shared" si="8"/>
        <v>12</v>
      </c>
      <c r="AH14" s="54">
        <v>10.25</v>
      </c>
      <c r="AI14" s="55">
        <v>115</v>
      </c>
      <c r="AJ14" s="150"/>
      <c r="AK14" s="75">
        <f t="shared" si="9"/>
        <v>12</v>
      </c>
      <c r="AL14" s="54">
        <v>13.8</v>
      </c>
      <c r="AM14" s="55">
        <v>170</v>
      </c>
      <c r="AN14" s="150"/>
      <c r="AO14" s="75">
        <f t="shared" si="10"/>
        <v>12</v>
      </c>
      <c r="AP14" s="54">
        <v>50</v>
      </c>
      <c r="AQ14" s="55">
        <v>50</v>
      </c>
      <c r="AR14" s="150"/>
      <c r="AS14" s="75">
        <f t="shared" si="11"/>
        <v>12</v>
      </c>
      <c r="AT14" s="54">
        <v>5.2</v>
      </c>
      <c r="AU14" s="55">
        <v>3</v>
      </c>
      <c r="AV14" s="150"/>
      <c r="AW14" s="67"/>
    </row>
    <row r="15" spans="1:49" s="49" customFormat="1" ht="11.25" x14ac:dyDescent="0.2">
      <c r="A15" s="73">
        <f t="shared" si="0"/>
        <v>13</v>
      </c>
      <c r="B15" s="54">
        <v>66.66</v>
      </c>
      <c r="C15" s="55">
        <v>130</v>
      </c>
      <c r="D15" s="150"/>
      <c r="E15" s="75">
        <f t="shared" si="1"/>
        <v>13</v>
      </c>
      <c r="F15" s="54">
        <v>16.579999999999998</v>
      </c>
      <c r="G15" s="55">
        <v>80</v>
      </c>
      <c r="H15" s="150"/>
      <c r="I15" s="75">
        <f t="shared" si="2"/>
        <v>13</v>
      </c>
      <c r="J15" s="54">
        <v>5.41</v>
      </c>
      <c r="K15" s="55">
        <v>8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36.92</v>
      </c>
      <c r="S15" s="55">
        <v>203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11.4</v>
      </c>
      <c r="AA15" s="55">
        <v>85</v>
      </c>
      <c r="AB15" s="150"/>
      <c r="AC15" s="75">
        <f t="shared" si="7"/>
        <v>13</v>
      </c>
      <c r="AD15" s="54">
        <v>5.22</v>
      </c>
      <c r="AE15" s="55">
        <v>3</v>
      </c>
      <c r="AF15" s="150"/>
      <c r="AG15" s="75">
        <f t="shared" si="8"/>
        <v>13</v>
      </c>
      <c r="AH15" s="54">
        <v>5.14</v>
      </c>
      <c r="AI15" s="55">
        <v>3</v>
      </c>
      <c r="AJ15" s="150"/>
      <c r="AK15" s="75">
        <f t="shared" si="9"/>
        <v>13</v>
      </c>
      <c r="AL15" s="54">
        <v>52.8</v>
      </c>
      <c r="AM15" s="55">
        <v>436</v>
      </c>
      <c r="AN15" s="150"/>
      <c r="AO15" s="75">
        <f t="shared" si="10"/>
        <v>13</v>
      </c>
      <c r="AP15" s="54">
        <v>10.17</v>
      </c>
      <c r="AQ15" s="55">
        <v>30</v>
      </c>
      <c r="AR15" s="150"/>
      <c r="AS15" s="75">
        <f t="shared" si="11"/>
        <v>13</v>
      </c>
      <c r="AT15" s="54">
        <v>7</v>
      </c>
      <c r="AU15" s="55">
        <v>10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16.75</v>
      </c>
      <c r="C16" s="55">
        <v>55</v>
      </c>
      <c r="D16" s="150"/>
      <c r="E16" s="75">
        <f t="shared" si="1"/>
        <v>14</v>
      </c>
      <c r="F16" s="54">
        <v>13.22</v>
      </c>
      <c r="G16" s="55">
        <v>75</v>
      </c>
      <c r="H16" s="150"/>
      <c r="I16" s="75">
        <f t="shared" si="2"/>
        <v>14</v>
      </c>
      <c r="J16" s="54">
        <v>5.41</v>
      </c>
      <c r="K16" s="55">
        <v>8</v>
      </c>
      <c r="L16" s="150"/>
      <c r="M16" s="75">
        <f t="shared" si="3"/>
        <v>14</v>
      </c>
      <c r="N16" s="54">
        <v>39.39</v>
      </c>
      <c r="O16" s="55">
        <v>373</v>
      </c>
      <c r="P16" s="150"/>
      <c r="Q16" s="75">
        <f t="shared" si="4"/>
        <v>14</v>
      </c>
      <c r="R16" s="54">
        <v>14.4</v>
      </c>
      <c r="S16" s="49">
        <v>45</v>
      </c>
      <c r="T16" s="150"/>
      <c r="U16" s="75">
        <f t="shared" si="5"/>
        <v>14</v>
      </c>
      <c r="V16" s="54">
        <v>24</v>
      </c>
      <c r="W16" s="55">
        <v>130</v>
      </c>
      <c r="X16" s="150"/>
      <c r="Y16" s="75">
        <f t="shared" si="6"/>
        <v>14</v>
      </c>
      <c r="Z16" s="54">
        <v>24.14</v>
      </c>
      <c r="AA16" s="55">
        <v>150</v>
      </c>
      <c r="AB16" s="150"/>
      <c r="AC16" s="75">
        <f t="shared" si="7"/>
        <v>14</v>
      </c>
      <c r="AD16" s="54">
        <v>5.5</v>
      </c>
      <c r="AE16" s="55">
        <v>5</v>
      </c>
      <c r="AF16" s="150">
        <v>1.0416666666666666E-2</v>
      </c>
      <c r="AG16" s="75">
        <f t="shared" si="8"/>
        <v>14</v>
      </c>
      <c r="AH16" s="54">
        <v>10</v>
      </c>
      <c r="AI16" s="55">
        <v>5</v>
      </c>
      <c r="AJ16" s="150"/>
      <c r="AK16" s="75">
        <f t="shared" si="9"/>
        <v>14</v>
      </c>
      <c r="AL16" s="54">
        <v>21.46</v>
      </c>
      <c r="AM16" s="55">
        <v>135</v>
      </c>
      <c r="AN16" s="150"/>
      <c r="AO16" s="75">
        <f t="shared" si="10"/>
        <v>14</v>
      </c>
      <c r="AP16" s="54">
        <v>5.2</v>
      </c>
      <c r="AQ16" s="55">
        <v>3</v>
      </c>
      <c r="AR16" s="150"/>
      <c r="AS16" s="75">
        <f t="shared" si="11"/>
        <v>14</v>
      </c>
      <c r="AT16" s="54">
        <v>13</v>
      </c>
      <c r="AU16" s="55">
        <v>40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10.199999999999999</v>
      </c>
      <c r="C17" s="55">
        <v>30</v>
      </c>
      <c r="D17" s="150"/>
      <c r="E17" s="75">
        <f t="shared" si="1"/>
        <v>15</v>
      </c>
      <c r="F17" s="54">
        <v>5.75</v>
      </c>
      <c r="G17" s="55">
        <v>10</v>
      </c>
      <c r="H17" s="150"/>
      <c r="I17" s="75">
        <f t="shared" si="2"/>
        <v>15</v>
      </c>
      <c r="J17" s="54">
        <v>7.85</v>
      </c>
      <c r="K17" s="55">
        <v>73</v>
      </c>
      <c r="L17" s="150"/>
      <c r="M17" s="75">
        <f t="shared" si="3"/>
        <v>15</v>
      </c>
      <c r="N17" s="54">
        <v>29.119999999999997</v>
      </c>
      <c r="O17" s="55">
        <v>468</v>
      </c>
      <c r="P17" s="150"/>
      <c r="Q17" s="75">
        <f t="shared" si="4"/>
        <v>15</v>
      </c>
      <c r="R17" s="54">
        <v>7.63</v>
      </c>
      <c r="S17" s="49">
        <v>20</v>
      </c>
      <c r="T17" s="150"/>
      <c r="U17" s="75">
        <f t="shared" si="5"/>
        <v>15</v>
      </c>
      <c r="V17" s="54"/>
      <c r="W17" s="55"/>
      <c r="X17" s="150"/>
      <c r="Y17" s="75">
        <f t="shared" si="6"/>
        <v>15</v>
      </c>
      <c r="Z17" s="54">
        <v>17.05</v>
      </c>
      <c r="AA17" s="55">
        <v>124</v>
      </c>
      <c r="AB17" s="150"/>
      <c r="AC17" s="75">
        <f t="shared" si="7"/>
        <v>15</v>
      </c>
      <c r="AD17" s="54">
        <v>43.9</v>
      </c>
      <c r="AE17" s="55">
        <v>980</v>
      </c>
      <c r="AF17" s="150"/>
      <c r="AG17" s="75">
        <f t="shared" si="8"/>
        <v>15</v>
      </c>
      <c r="AH17" s="54">
        <v>31.700000000000003</v>
      </c>
      <c r="AI17" s="55">
        <v>383</v>
      </c>
      <c r="AJ17" s="150"/>
      <c r="AK17" s="75">
        <f t="shared" si="9"/>
        <v>15</v>
      </c>
      <c r="AL17" s="54">
        <v>10.9</v>
      </c>
      <c r="AM17" s="55">
        <v>5</v>
      </c>
      <c r="AN17" s="150"/>
      <c r="AO17" s="75">
        <f t="shared" si="10"/>
        <v>15</v>
      </c>
      <c r="AP17" s="54">
        <v>11.3</v>
      </c>
      <c r="AQ17" s="55">
        <v>45</v>
      </c>
      <c r="AR17" s="150"/>
      <c r="AS17" s="75">
        <f t="shared" si="11"/>
        <v>15</v>
      </c>
      <c r="AT17" s="54">
        <v>31.21</v>
      </c>
      <c r="AU17" s="55">
        <v>146</v>
      </c>
      <c r="AV17" s="150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50">
        <v>1.0416666666666666E-2</v>
      </c>
      <c r="E18" s="75">
        <f t="shared" si="1"/>
        <v>16</v>
      </c>
      <c r="F18" s="54">
        <v>11.22</v>
      </c>
      <c r="G18" s="55">
        <v>20</v>
      </c>
      <c r="H18" s="150"/>
      <c r="I18" s="75">
        <f t="shared" si="2"/>
        <v>16</v>
      </c>
      <c r="J18" s="54">
        <v>5.2</v>
      </c>
      <c r="K18" s="55">
        <v>3</v>
      </c>
      <c r="L18" s="150"/>
      <c r="M18" s="75">
        <f t="shared" si="3"/>
        <v>16</v>
      </c>
      <c r="N18" s="54">
        <v>7.62</v>
      </c>
      <c r="O18" s="55">
        <v>30</v>
      </c>
      <c r="P18" s="150"/>
      <c r="Q18" s="75">
        <f t="shared" si="4"/>
        <v>16</v>
      </c>
      <c r="R18" s="54">
        <v>5.18</v>
      </c>
      <c r="S18" s="55">
        <v>3</v>
      </c>
      <c r="T18" s="150"/>
      <c r="U18" s="75">
        <f t="shared" si="5"/>
        <v>16</v>
      </c>
      <c r="V18" s="54">
        <v>40</v>
      </c>
      <c r="W18" s="55">
        <v>1500</v>
      </c>
      <c r="X18" s="150"/>
      <c r="Y18" s="75">
        <f t="shared" si="6"/>
        <v>16</v>
      </c>
      <c r="Z18" s="54">
        <v>8.3000000000000007</v>
      </c>
      <c r="AA18" s="55">
        <v>25</v>
      </c>
      <c r="AB18" s="150"/>
      <c r="AC18" s="75">
        <f t="shared" si="7"/>
        <v>16</v>
      </c>
      <c r="AD18" s="54">
        <v>5.15</v>
      </c>
      <c r="AE18" s="55">
        <v>3</v>
      </c>
      <c r="AF18" s="150"/>
      <c r="AG18" s="75">
        <f t="shared" si="8"/>
        <v>16</v>
      </c>
      <c r="AH18" s="54">
        <v>57.620000000000005</v>
      </c>
      <c r="AI18" s="55">
        <v>390</v>
      </c>
      <c r="AJ18" s="150"/>
      <c r="AK18" s="75">
        <f t="shared" si="9"/>
        <v>16</v>
      </c>
      <c r="AL18" s="54">
        <v>17.170000000000002</v>
      </c>
      <c r="AM18" s="55">
        <v>200</v>
      </c>
      <c r="AN18" s="150"/>
      <c r="AO18" s="75">
        <f t="shared" si="10"/>
        <v>16</v>
      </c>
      <c r="AP18" s="54">
        <v>5.2</v>
      </c>
      <c r="AQ18" s="55">
        <v>3</v>
      </c>
      <c r="AR18" s="150"/>
      <c r="AS18" s="75">
        <f t="shared" si="11"/>
        <v>16</v>
      </c>
      <c r="AT18" s="54">
        <v>10.3</v>
      </c>
      <c r="AU18" s="55">
        <v>30</v>
      </c>
      <c r="AV18" s="150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11.2</v>
      </c>
      <c r="C19" s="55">
        <v>35</v>
      </c>
      <c r="D19" s="150"/>
      <c r="E19" s="75">
        <f t="shared" si="1"/>
        <v>17</v>
      </c>
      <c r="F19" s="54">
        <v>20.71</v>
      </c>
      <c r="G19" s="55">
        <v>125</v>
      </c>
      <c r="H19" s="150"/>
      <c r="I19" s="75">
        <f t="shared" si="2"/>
        <v>17</v>
      </c>
      <c r="J19" s="54">
        <v>15.95</v>
      </c>
      <c r="K19" s="55">
        <v>103</v>
      </c>
      <c r="L19" s="150"/>
      <c r="M19" s="75">
        <f t="shared" si="3"/>
        <v>17</v>
      </c>
      <c r="N19" s="54">
        <v>13.22</v>
      </c>
      <c r="O19" s="55">
        <v>120</v>
      </c>
      <c r="P19" s="150"/>
      <c r="Q19" s="75">
        <f t="shared" si="4"/>
        <v>17</v>
      </c>
      <c r="R19" s="54">
        <v>11.9</v>
      </c>
      <c r="S19" s="55">
        <v>150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>
        <v>10.199999999999999</v>
      </c>
      <c r="AA19" s="55">
        <v>25</v>
      </c>
      <c r="AB19" s="150"/>
      <c r="AC19" s="75">
        <f t="shared" si="7"/>
        <v>17</v>
      </c>
      <c r="AD19" s="54">
        <v>10.07</v>
      </c>
      <c r="AE19" s="55">
        <v>80</v>
      </c>
      <c r="AF19" s="150"/>
      <c r="AG19" s="75">
        <f t="shared" si="8"/>
        <v>17</v>
      </c>
      <c r="AH19" s="54">
        <v>11.08</v>
      </c>
      <c r="AI19" s="55">
        <v>5</v>
      </c>
      <c r="AJ19" s="150"/>
      <c r="AK19" s="75">
        <f t="shared" si="9"/>
        <v>17</v>
      </c>
      <c r="AL19" s="54">
        <v>10.61</v>
      </c>
      <c r="AM19" s="55">
        <v>20</v>
      </c>
      <c r="AN19" s="150"/>
      <c r="AO19" s="75">
        <f t="shared" si="10"/>
        <v>17</v>
      </c>
      <c r="AP19" s="54">
        <v>25.66</v>
      </c>
      <c r="AQ19" s="55">
        <v>60</v>
      </c>
      <c r="AR19" s="150">
        <v>1.7361111111111112E-2</v>
      </c>
      <c r="AS19" s="75">
        <f t="shared" si="11"/>
        <v>17</v>
      </c>
      <c r="AT19" s="54">
        <v>16</v>
      </c>
      <c r="AU19" s="55">
        <v>30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6.56</v>
      </c>
      <c r="C20" s="55">
        <v>10</v>
      </c>
      <c r="D20" s="150"/>
      <c r="E20" s="75">
        <f t="shared" si="1"/>
        <v>18</v>
      </c>
      <c r="F20" s="54">
        <v>16.8</v>
      </c>
      <c r="G20" s="55">
        <v>130</v>
      </c>
      <c r="H20" s="150">
        <v>1.0416666666666666E-2</v>
      </c>
      <c r="I20" s="75">
        <f t="shared" si="2"/>
        <v>18</v>
      </c>
      <c r="J20" s="54">
        <v>10.5</v>
      </c>
      <c r="K20" s="55">
        <v>6</v>
      </c>
      <c r="L20" s="150"/>
      <c r="M20" s="75">
        <f t="shared" si="3"/>
        <v>18</v>
      </c>
      <c r="N20" s="54">
        <v>12.86</v>
      </c>
      <c r="O20" s="55">
        <v>135</v>
      </c>
      <c r="P20" s="150"/>
      <c r="Q20" s="75">
        <f t="shared" si="4"/>
        <v>18</v>
      </c>
      <c r="R20" s="54">
        <v>11.61</v>
      </c>
      <c r="S20" s="55">
        <v>120</v>
      </c>
      <c r="T20" s="150"/>
      <c r="U20" s="75">
        <f t="shared" si="5"/>
        <v>18</v>
      </c>
      <c r="V20" s="54">
        <v>26</v>
      </c>
      <c r="W20" s="55">
        <v>610</v>
      </c>
      <c r="X20" s="150"/>
      <c r="Y20" s="75">
        <f t="shared" si="6"/>
        <v>18</v>
      </c>
      <c r="Z20" s="54">
        <v>11.48</v>
      </c>
      <c r="AA20" s="55">
        <v>85</v>
      </c>
      <c r="AB20" s="150"/>
      <c r="AC20" s="75">
        <f t="shared" si="7"/>
        <v>18</v>
      </c>
      <c r="AD20" s="54">
        <v>50.96</v>
      </c>
      <c r="AE20" s="55">
        <v>609</v>
      </c>
      <c r="AF20" s="150"/>
      <c r="AG20" s="75">
        <f t="shared" si="8"/>
        <v>18</v>
      </c>
      <c r="AH20" s="54">
        <v>11.78</v>
      </c>
      <c r="AI20" s="55">
        <v>6</v>
      </c>
      <c r="AJ20" s="150"/>
      <c r="AK20" s="75">
        <f t="shared" si="9"/>
        <v>18</v>
      </c>
      <c r="AL20" s="54">
        <v>16.75</v>
      </c>
      <c r="AM20" s="55">
        <v>200</v>
      </c>
      <c r="AN20" s="150"/>
      <c r="AO20" s="75">
        <f t="shared" si="10"/>
        <v>18</v>
      </c>
      <c r="AP20" s="54">
        <v>20.93</v>
      </c>
      <c r="AQ20" s="55">
        <v>130</v>
      </c>
      <c r="AR20" s="150"/>
      <c r="AS20" s="75">
        <f t="shared" si="11"/>
        <v>18</v>
      </c>
      <c r="AT20" s="54">
        <v>12.07</v>
      </c>
      <c r="AU20" s="55">
        <v>100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8.5</v>
      </c>
      <c r="C21" s="55">
        <v>180</v>
      </c>
      <c r="D21" s="150"/>
      <c r="E21" s="75">
        <f t="shared" si="1"/>
        <v>19</v>
      </c>
      <c r="F21" s="54">
        <v>7.84</v>
      </c>
      <c r="G21" s="55">
        <v>10</v>
      </c>
      <c r="H21" s="150"/>
      <c r="I21" s="75">
        <f t="shared" si="2"/>
        <v>19</v>
      </c>
      <c r="J21" s="54">
        <v>10.199999999999999</v>
      </c>
      <c r="K21" s="55">
        <v>5</v>
      </c>
      <c r="L21" s="150"/>
      <c r="M21" s="75">
        <f t="shared" si="3"/>
        <v>19</v>
      </c>
      <c r="N21" s="54">
        <v>10</v>
      </c>
      <c r="O21" s="55">
        <v>340</v>
      </c>
      <c r="P21" s="150"/>
      <c r="Q21" s="75">
        <f t="shared" si="4"/>
        <v>19</v>
      </c>
      <c r="R21" s="54"/>
      <c r="S21" s="55"/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17.43</v>
      </c>
      <c r="AA21" s="55">
        <v>80</v>
      </c>
      <c r="AB21" s="150"/>
      <c r="AC21" s="75">
        <f t="shared" si="7"/>
        <v>19</v>
      </c>
      <c r="AD21" s="54">
        <v>23.47</v>
      </c>
      <c r="AE21" s="55">
        <v>160</v>
      </c>
      <c r="AF21" s="150"/>
      <c r="AG21" s="75">
        <f t="shared" si="8"/>
        <v>19</v>
      </c>
      <c r="AH21" s="54">
        <v>12.41</v>
      </c>
      <c r="AI21" s="55">
        <v>40</v>
      </c>
      <c r="AJ21" s="150"/>
      <c r="AK21" s="75">
        <f t="shared" si="9"/>
        <v>19</v>
      </c>
      <c r="AL21" s="54">
        <v>14.36</v>
      </c>
      <c r="AM21" s="55">
        <v>343</v>
      </c>
      <c r="AN21" s="150"/>
      <c r="AO21" s="75">
        <f t="shared" si="10"/>
        <v>19</v>
      </c>
      <c r="AP21" s="54">
        <v>11.4</v>
      </c>
      <c r="AQ21" s="55">
        <v>33</v>
      </c>
      <c r="AR21" s="150"/>
      <c r="AS21" s="75">
        <f t="shared" si="11"/>
        <v>19</v>
      </c>
      <c r="AT21" s="54">
        <v>7.89</v>
      </c>
      <c r="AU21" s="55">
        <v>15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15.139999999999999</v>
      </c>
      <c r="C22" s="55">
        <v>244</v>
      </c>
      <c r="D22" s="150"/>
      <c r="E22" s="75">
        <f t="shared" si="1"/>
        <v>20</v>
      </c>
      <c r="F22" s="54">
        <v>10.219999999999999</v>
      </c>
      <c r="G22" s="55">
        <v>40</v>
      </c>
      <c r="H22" s="150"/>
      <c r="I22" s="75">
        <f t="shared" si="2"/>
        <v>20</v>
      </c>
      <c r="J22" s="54">
        <v>10.08</v>
      </c>
      <c r="K22" s="55">
        <v>45</v>
      </c>
      <c r="L22" s="150"/>
      <c r="M22" s="75">
        <f t="shared" si="3"/>
        <v>20</v>
      </c>
      <c r="N22" s="54">
        <v>10</v>
      </c>
      <c r="O22" s="55">
        <v>340</v>
      </c>
      <c r="P22" s="150"/>
      <c r="Q22" s="75">
        <f t="shared" si="4"/>
        <v>20</v>
      </c>
      <c r="R22" s="54">
        <v>20.03</v>
      </c>
      <c r="S22" s="55">
        <v>368</v>
      </c>
      <c r="T22" s="150"/>
      <c r="U22" s="75">
        <f t="shared" si="5"/>
        <v>20</v>
      </c>
      <c r="V22" s="54">
        <v>57.2</v>
      </c>
      <c r="W22" s="55">
        <v>750</v>
      </c>
      <c r="X22" s="150"/>
      <c r="Y22" s="75">
        <f t="shared" si="6"/>
        <v>20</v>
      </c>
      <c r="Z22" s="54">
        <v>10.050000000000001</v>
      </c>
      <c r="AA22" s="55">
        <v>115</v>
      </c>
      <c r="AB22" s="150"/>
      <c r="AC22" s="75">
        <f t="shared" si="7"/>
        <v>20</v>
      </c>
      <c r="AD22" s="54"/>
      <c r="AE22" s="55"/>
      <c r="AF22" s="150"/>
      <c r="AG22" s="75">
        <f t="shared" si="8"/>
        <v>20</v>
      </c>
      <c r="AH22" s="54">
        <v>24.66</v>
      </c>
      <c r="AI22" s="55">
        <v>25</v>
      </c>
      <c r="AJ22" s="150"/>
      <c r="AK22" s="75">
        <f t="shared" si="9"/>
        <v>20</v>
      </c>
      <c r="AL22" s="54">
        <v>41.43</v>
      </c>
      <c r="AM22" s="55">
        <v>408</v>
      </c>
      <c r="AN22" s="150"/>
      <c r="AO22" s="75">
        <f t="shared" si="10"/>
        <v>20</v>
      </c>
      <c r="AP22" s="54">
        <v>5.2</v>
      </c>
      <c r="AQ22" s="55">
        <v>3</v>
      </c>
      <c r="AR22" s="150"/>
      <c r="AS22" s="75">
        <f t="shared" si="11"/>
        <v>20</v>
      </c>
      <c r="AT22" s="54">
        <v>5.5</v>
      </c>
      <c r="AU22" s="55">
        <v>8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13.96</v>
      </c>
      <c r="C23" s="55">
        <v>140</v>
      </c>
      <c r="D23" s="150">
        <v>4.8611111111111112E-2</v>
      </c>
      <c r="E23" s="75">
        <f t="shared" si="1"/>
        <v>21</v>
      </c>
      <c r="F23" s="54">
        <v>10.61</v>
      </c>
      <c r="G23" s="55">
        <v>50</v>
      </c>
      <c r="H23" s="150"/>
      <c r="I23" s="75">
        <f t="shared" si="2"/>
        <v>21</v>
      </c>
      <c r="J23" s="54">
        <v>14.08</v>
      </c>
      <c r="K23" s="55">
        <v>46</v>
      </c>
      <c r="L23" s="150"/>
      <c r="M23" s="75">
        <f t="shared" si="3"/>
        <v>21</v>
      </c>
      <c r="N23" s="54">
        <v>82</v>
      </c>
      <c r="O23" s="55">
        <v>2147</v>
      </c>
      <c r="P23" s="150"/>
      <c r="Q23" s="75">
        <f t="shared" si="4"/>
        <v>21</v>
      </c>
      <c r="R23" s="54">
        <v>61.789999999999992</v>
      </c>
      <c r="S23" s="55">
        <v>450</v>
      </c>
      <c r="T23" s="150"/>
      <c r="U23" s="75">
        <f t="shared" si="5"/>
        <v>21</v>
      </c>
      <c r="V23" s="54">
        <v>14.5</v>
      </c>
      <c r="W23" s="55">
        <v>320</v>
      </c>
      <c r="X23" s="150"/>
      <c r="Y23" s="75">
        <f t="shared" si="6"/>
        <v>21</v>
      </c>
      <c r="Z23" s="54">
        <v>55.230000000000004</v>
      </c>
      <c r="AA23" s="55">
        <v>353</v>
      </c>
      <c r="AB23" s="150"/>
      <c r="AC23" s="75">
        <f t="shared" si="7"/>
        <v>21</v>
      </c>
      <c r="AD23" s="54">
        <v>7.28</v>
      </c>
      <c r="AE23" s="55">
        <v>10</v>
      </c>
      <c r="AF23" s="150"/>
      <c r="AG23" s="75">
        <f t="shared" si="8"/>
        <v>21</v>
      </c>
      <c r="AH23" s="54">
        <v>10.9</v>
      </c>
      <c r="AI23" s="55">
        <v>30</v>
      </c>
      <c r="AJ23" s="150"/>
      <c r="AK23" s="75">
        <f t="shared" si="9"/>
        <v>21</v>
      </c>
      <c r="AL23" s="54">
        <v>46.81</v>
      </c>
      <c r="AM23" s="55">
        <v>338</v>
      </c>
      <c r="AN23" s="150">
        <v>1.3888888888888888E-2</v>
      </c>
      <c r="AO23" s="75">
        <f t="shared" si="10"/>
        <v>21</v>
      </c>
      <c r="AP23" s="54">
        <v>10</v>
      </c>
      <c r="AQ23" s="55">
        <v>35</v>
      </c>
      <c r="AR23" s="150"/>
      <c r="AS23" s="75">
        <f t="shared" si="11"/>
        <v>21</v>
      </c>
      <c r="AT23" s="54">
        <v>10.14</v>
      </c>
      <c r="AU23" s="55">
        <v>20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8.1</v>
      </c>
      <c r="C24" s="55">
        <v>30</v>
      </c>
      <c r="D24" s="150">
        <v>3.125E-2</v>
      </c>
      <c r="E24" s="75">
        <f t="shared" si="1"/>
        <v>22</v>
      </c>
      <c r="F24" s="54">
        <v>11.04</v>
      </c>
      <c r="G24" s="55">
        <v>50</v>
      </c>
      <c r="H24" s="150"/>
      <c r="I24" s="75">
        <f t="shared" si="2"/>
        <v>22</v>
      </c>
      <c r="J24" s="54">
        <v>15.95</v>
      </c>
      <c r="K24" s="55">
        <v>103</v>
      </c>
      <c r="L24" s="150"/>
      <c r="M24" s="75">
        <f t="shared" si="3"/>
        <v>22</v>
      </c>
      <c r="N24" s="49">
        <v>34.67</v>
      </c>
      <c r="O24" s="49">
        <v>283</v>
      </c>
      <c r="P24" s="150"/>
      <c r="Q24" s="75">
        <f t="shared" si="4"/>
        <v>22</v>
      </c>
      <c r="R24" s="54">
        <v>5.16</v>
      </c>
      <c r="S24" s="49">
        <v>15</v>
      </c>
      <c r="T24" s="150"/>
      <c r="U24" s="75">
        <f t="shared" si="5"/>
        <v>22</v>
      </c>
      <c r="V24" s="54"/>
      <c r="W24" s="55"/>
      <c r="X24" s="150"/>
      <c r="Y24" s="75">
        <f t="shared" si="6"/>
        <v>22</v>
      </c>
      <c r="Z24" s="54">
        <v>10.050000000000001</v>
      </c>
      <c r="AA24" s="55">
        <v>40</v>
      </c>
      <c r="AB24" s="150"/>
      <c r="AC24" s="75">
        <f t="shared" si="7"/>
        <v>22</v>
      </c>
      <c r="AD24" s="54">
        <v>5.05</v>
      </c>
      <c r="AE24" s="55">
        <v>20</v>
      </c>
      <c r="AF24" s="150"/>
      <c r="AG24" s="75">
        <f t="shared" si="8"/>
        <v>22</v>
      </c>
      <c r="AH24" s="54">
        <v>15.9</v>
      </c>
      <c r="AI24" s="55">
        <v>103</v>
      </c>
      <c r="AJ24" s="150"/>
      <c r="AK24" s="75">
        <f t="shared" si="9"/>
        <v>22</v>
      </c>
      <c r="AL24" s="54">
        <v>5.15</v>
      </c>
      <c r="AM24" s="55">
        <v>3</v>
      </c>
      <c r="AN24" s="150"/>
      <c r="AO24" s="75">
        <f t="shared" si="10"/>
        <v>22</v>
      </c>
      <c r="AP24" s="54">
        <v>10</v>
      </c>
      <c r="AQ24" s="55">
        <v>30</v>
      </c>
      <c r="AR24" s="150"/>
      <c r="AS24" s="75">
        <f t="shared" si="11"/>
        <v>22</v>
      </c>
      <c r="AT24" s="54">
        <v>23.13</v>
      </c>
      <c r="AU24" s="55">
        <v>75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>
        <v>11.31</v>
      </c>
      <c r="G25" s="55">
        <v>50</v>
      </c>
      <c r="H25" s="150"/>
      <c r="I25" s="75">
        <f t="shared" si="2"/>
        <v>23</v>
      </c>
      <c r="J25" s="54">
        <v>17.18</v>
      </c>
      <c r="K25" s="55">
        <v>63</v>
      </c>
      <c r="L25" s="150"/>
      <c r="M25" s="75">
        <f t="shared" si="3"/>
        <v>23</v>
      </c>
      <c r="N25" s="54">
        <v>11.02</v>
      </c>
      <c r="O25" s="55">
        <v>15</v>
      </c>
      <c r="P25" s="150"/>
      <c r="Q25" s="75">
        <f t="shared" si="4"/>
        <v>23</v>
      </c>
      <c r="R25" s="54">
        <v>13.53</v>
      </c>
      <c r="S25" s="55">
        <v>20</v>
      </c>
      <c r="T25" s="150"/>
      <c r="U25" s="75">
        <f t="shared" si="5"/>
        <v>23</v>
      </c>
      <c r="V25" s="54"/>
      <c r="W25" s="55"/>
      <c r="X25" s="150"/>
      <c r="Y25" s="75">
        <f t="shared" si="6"/>
        <v>23</v>
      </c>
      <c r="Z25" s="54">
        <v>10.43</v>
      </c>
      <c r="AA25" s="55">
        <v>10</v>
      </c>
      <c r="AB25" s="150"/>
      <c r="AC25" s="75">
        <f t="shared" si="7"/>
        <v>23</v>
      </c>
      <c r="AD25" s="54">
        <v>5.12</v>
      </c>
      <c r="AE25" s="55">
        <v>3</v>
      </c>
      <c r="AF25" s="150"/>
      <c r="AG25" s="75">
        <f t="shared" si="8"/>
        <v>23</v>
      </c>
      <c r="AH25" s="54">
        <v>5.15</v>
      </c>
      <c r="AI25" s="55">
        <v>3</v>
      </c>
      <c r="AJ25" s="150"/>
      <c r="AK25" s="75">
        <f t="shared" si="9"/>
        <v>23</v>
      </c>
      <c r="AL25" s="54">
        <v>6</v>
      </c>
      <c r="AM25" s="55">
        <v>5</v>
      </c>
      <c r="AN25" s="150"/>
      <c r="AO25" s="75">
        <f t="shared" si="10"/>
        <v>23</v>
      </c>
      <c r="AP25" s="54">
        <v>11</v>
      </c>
      <c r="AQ25" s="55">
        <v>30</v>
      </c>
      <c r="AR25" s="150"/>
      <c r="AS25" s="75">
        <f t="shared" si="11"/>
        <v>23</v>
      </c>
      <c r="AT25" s="54">
        <v>25</v>
      </c>
      <c r="AU25" s="55">
        <v>180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10.8</v>
      </c>
      <c r="C26" s="55">
        <v>85</v>
      </c>
      <c r="D26" s="150"/>
      <c r="E26" s="75">
        <f t="shared" si="1"/>
        <v>24</v>
      </c>
      <c r="F26" s="54">
        <v>51.78</v>
      </c>
      <c r="G26" s="55">
        <v>472</v>
      </c>
      <c r="H26" s="150"/>
      <c r="I26" s="75">
        <f t="shared" si="2"/>
        <v>24</v>
      </c>
      <c r="J26" s="54"/>
      <c r="K26" s="55"/>
      <c r="L26" s="150"/>
      <c r="M26" s="75">
        <f t="shared" si="3"/>
        <v>24</v>
      </c>
      <c r="N26" s="54"/>
      <c r="O26" s="55"/>
      <c r="P26" s="150"/>
      <c r="Q26" s="75">
        <f t="shared" si="4"/>
        <v>24</v>
      </c>
      <c r="R26" s="54"/>
      <c r="S26" s="55"/>
      <c r="T26" s="150">
        <v>1.0416666666666666E-2</v>
      </c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8.64</v>
      </c>
      <c r="AA26" s="55">
        <v>85</v>
      </c>
      <c r="AB26" s="150"/>
      <c r="AC26" s="75">
        <f t="shared" si="7"/>
        <v>24</v>
      </c>
      <c r="AD26" s="54">
        <v>15.11</v>
      </c>
      <c r="AE26" s="55">
        <v>343</v>
      </c>
      <c r="AF26" s="150"/>
      <c r="AG26" s="75">
        <f t="shared" si="8"/>
        <v>24</v>
      </c>
      <c r="AH26" s="54">
        <v>11</v>
      </c>
      <c r="AI26" s="55">
        <v>30</v>
      </c>
      <c r="AJ26" s="150"/>
      <c r="AK26" s="75">
        <f t="shared" si="9"/>
        <v>24</v>
      </c>
      <c r="AL26" s="54">
        <v>5.15</v>
      </c>
      <c r="AM26" s="55">
        <v>3</v>
      </c>
      <c r="AN26" s="150"/>
      <c r="AO26" s="75">
        <f t="shared" si="10"/>
        <v>24</v>
      </c>
      <c r="AP26" s="54">
        <v>30.26</v>
      </c>
      <c r="AQ26" s="55">
        <v>33</v>
      </c>
      <c r="AR26" s="150"/>
      <c r="AS26" s="75">
        <f t="shared" si="11"/>
        <v>24</v>
      </c>
      <c r="AT26" s="54">
        <v>14.8</v>
      </c>
      <c r="AU26" s="55">
        <v>330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12.12</v>
      </c>
      <c r="C27" s="55">
        <v>50</v>
      </c>
      <c r="D27" s="150"/>
      <c r="E27" s="75">
        <f t="shared" si="1"/>
        <v>25</v>
      </c>
      <c r="F27" s="54">
        <v>33.81</v>
      </c>
      <c r="G27" s="55">
        <v>235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10.1</v>
      </c>
      <c r="O27" s="55">
        <v>10</v>
      </c>
      <c r="P27" s="150"/>
      <c r="Q27" s="75">
        <f t="shared" si="4"/>
        <v>25</v>
      </c>
      <c r="R27" s="54">
        <v>12.05</v>
      </c>
      <c r="S27" s="55">
        <v>188</v>
      </c>
      <c r="T27" s="150"/>
      <c r="U27" s="75">
        <f t="shared" si="5"/>
        <v>25</v>
      </c>
      <c r="V27" s="54">
        <v>10.07</v>
      </c>
      <c r="W27" s="55">
        <v>20</v>
      </c>
      <c r="X27" s="150"/>
      <c r="Y27" s="75">
        <f t="shared" si="6"/>
        <v>25</v>
      </c>
      <c r="Z27" s="54">
        <v>10.42</v>
      </c>
      <c r="AA27" s="55">
        <v>100</v>
      </c>
      <c r="AB27" s="150"/>
      <c r="AC27" s="75">
        <f t="shared" si="7"/>
        <v>25</v>
      </c>
      <c r="AD27" s="54">
        <v>24</v>
      </c>
      <c r="AE27" s="55">
        <v>127</v>
      </c>
      <c r="AF27" s="150"/>
      <c r="AG27" s="75">
        <f t="shared" si="8"/>
        <v>25</v>
      </c>
      <c r="AH27" s="54">
        <v>10.5</v>
      </c>
      <c r="AI27" s="55">
        <v>80</v>
      </c>
      <c r="AJ27" s="150"/>
      <c r="AK27" s="75">
        <f t="shared" si="9"/>
        <v>25</v>
      </c>
      <c r="AL27" s="54">
        <v>13</v>
      </c>
      <c r="AM27" s="55">
        <v>30</v>
      </c>
      <c r="AN27" s="150"/>
      <c r="AO27" s="75">
        <f t="shared" si="10"/>
        <v>25</v>
      </c>
      <c r="AP27" s="54">
        <v>12.3</v>
      </c>
      <c r="AQ27" s="55">
        <v>30</v>
      </c>
      <c r="AR27" s="150"/>
      <c r="AS27" s="75">
        <f t="shared" si="11"/>
        <v>25</v>
      </c>
      <c r="AT27" s="54">
        <v>10.06</v>
      </c>
      <c r="AU27" s="55">
        <v>10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15</v>
      </c>
      <c r="C28" s="55">
        <v>20</v>
      </c>
      <c r="D28" s="150"/>
      <c r="E28" s="75">
        <f t="shared" si="1"/>
        <v>26</v>
      </c>
      <c r="F28" s="54">
        <v>6.03</v>
      </c>
      <c r="G28" s="55">
        <v>10</v>
      </c>
      <c r="H28" s="150"/>
      <c r="I28" s="75">
        <f t="shared" si="2"/>
        <v>26</v>
      </c>
      <c r="J28" s="54"/>
      <c r="K28" s="55"/>
      <c r="L28" s="150"/>
      <c r="M28" s="75">
        <f t="shared" si="3"/>
        <v>26</v>
      </c>
      <c r="N28" s="54">
        <v>5.35</v>
      </c>
      <c r="O28" s="55">
        <v>3</v>
      </c>
      <c r="P28" s="150">
        <v>1.0416666666666666E-2</v>
      </c>
      <c r="Q28" s="75">
        <f t="shared" si="4"/>
        <v>26</v>
      </c>
      <c r="R28" s="54">
        <v>15.47</v>
      </c>
      <c r="S28" s="55">
        <v>78</v>
      </c>
      <c r="T28" s="150"/>
      <c r="U28" s="75">
        <f t="shared" si="5"/>
        <v>26</v>
      </c>
      <c r="V28" s="54">
        <v>10.65</v>
      </c>
      <c r="W28" s="55">
        <v>15</v>
      </c>
      <c r="X28" s="150"/>
      <c r="Y28" s="75">
        <f t="shared" si="6"/>
        <v>26</v>
      </c>
      <c r="Z28" s="54">
        <v>10.36</v>
      </c>
      <c r="AA28" s="55">
        <v>20</v>
      </c>
      <c r="AB28" s="150"/>
      <c r="AC28" s="75">
        <f t="shared" si="7"/>
        <v>26</v>
      </c>
      <c r="AD28" s="54">
        <v>15.46</v>
      </c>
      <c r="AE28" s="55">
        <v>127</v>
      </c>
      <c r="AF28" s="150"/>
      <c r="AG28" s="75">
        <f t="shared" si="8"/>
        <v>26</v>
      </c>
      <c r="AH28" s="54">
        <v>10.86</v>
      </c>
      <c r="AI28" s="55">
        <v>30</v>
      </c>
      <c r="AJ28" s="150"/>
      <c r="AK28" s="75">
        <f t="shared" si="9"/>
        <v>26</v>
      </c>
      <c r="AL28" s="54">
        <v>8</v>
      </c>
      <c r="AM28" s="55">
        <v>35</v>
      </c>
      <c r="AN28" s="150"/>
      <c r="AO28" s="75">
        <f t="shared" si="10"/>
        <v>26</v>
      </c>
      <c r="AP28" s="54">
        <v>50</v>
      </c>
      <c r="AQ28" s="55">
        <v>60</v>
      </c>
      <c r="AR28" s="150"/>
      <c r="AS28" s="75">
        <f t="shared" si="11"/>
        <v>26</v>
      </c>
      <c r="AT28" s="54">
        <v>13.25</v>
      </c>
      <c r="AU28" s="55">
        <v>90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27.770000000000003</v>
      </c>
      <c r="C29" s="55">
        <v>387</v>
      </c>
      <c r="D29" s="150"/>
      <c r="E29" s="75">
        <f t="shared" si="1"/>
        <v>27</v>
      </c>
      <c r="F29" s="54">
        <v>6.3</v>
      </c>
      <c r="G29" s="55">
        <v>10</v>
      </c>
      <c r="H29" s="150"/>
      <c r="I29" s="75">
        <f t="shared" si="2"/>
        <v>27</v>
      </c>
      <c r="J29" s="54"/>
      <c r="K29" s="55"/>
      <c r="L29" s="150"/>
      <c r="M29" s="75">
        <f t="shared" si="3"/>
        <v>27</v>
      </c>
      <c r="N29" s="54">
        <v>11.1</v>
      </c>
      <c r="O29" s="55">
        <v>85</v>
      </c>
      <c r="P29" s="150"/>
      <c r="Q29" s="75">
        <f t="shared" si="4"/>
        <v>27</v>
      </c>
      <c r="R29" s="54">
        <v>62.05</v>
      </c>
      <c r="S29" s="55">
        <v>750</v>
      </c>
      <c r="T29" s="150"/>
      <c r="U29" s="75">
        <f t="shared" si="5"/>
        <v>27</v>
      </c>
      <c r="V29" s="54">
        <v>10.15</v>
      </c>
      <c r="W29" s="55">
        <v>40</v>
      </c>
      <c r="X29" s="150"/>
      <c r="Y29" s="75">
        <f t="shared" si="6"/>
        <v>27</v>
      </c>
      <c r="Z29" s="54">
        <v>14.44</v>
      </c>
      <c r="AA29" s="55">
        <v>45</v>
      </c>
      <c r="AB29" s="150"/>
      <c r="AC29" s="75">
        <f t="shared" si="7"/>
        <v>27</v>
      </c>
      <c r="AD29" s="54">
        <v>10.15</v>
      </c>
      <c r="AE29" s="55">
        <v>40</v>
      </c>
      <c r="AF29" s="150"/>
      <c r="AG29" s="75">
        <f t="shared" si="8"/>
        <v>27</v>
      </c>
      <c r="AH29" s="54">
        <v>20.36</v>
      </c>
      <c r="AI29" s="55">
        <v>25</v>
      </c>
      <c r="AJ29" s="150"/>
      <c r="AK29" s="75">
        <f t="shared" si="9"/>
        <v>27</v>
      </c>
      <c r="AL29" s="54">
        <v>20.25</v>
      </c>
      <c r="AM29" s="55">
        <v>50</v>
      </c>
      <c r="AN29" s="150"/>
      <c r="AO29" s="75">
        <f t="shared" si="10"/>
        <v>27</v>
      </c>
      <c r="AP29" s="54">
        <v>5.2</v>
      </c>
      <c r="AQ29" s="55">
        <v>3</v>
      </c>
      <c r="AR29" s="150"/>
      <c r="AS29" s="75">
        <f t="shared" si="11"/>
        <v>27</v>
      </c>
      <c r="AT29" s="54">
        <v>5.81</v>
      </c>
      <c r="AU29" s="55">
        <v>10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24.47</v>
      </c>
      <c r="C30" s="55">
        <v>200</v>
      </c>
      <c r="D30" s="150"/>
      <c r="E30" s="75">
        <f t="shared" si="1"/>
        <v>28</v>
      </c>
      <c r="F30" s="54">
        <v>6.3</v>
      </c>
      <c r="G30" s="55">
        <v>10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17</v>
      </c>
      <c r="O30" s="55">
        <v>325</v>
      </c>
      <c r="P30" s="150"/>
      <c r="Q30" s="75">
        <f t="shared" si="4"/>
        <v>28</v>
      </c>
      <c r="R30" s="54">
        <v>10.76</v>
      </c>
      <c r="S30" s="55">
        <v>30</v>
      </c>
      <c r="T30" s="150"/>
      <c r="U30" s="75">
        <f t="shared" si="5"/>
        <v>28</v>
      </c>
      <c r="V30" s="54">
        <v>22.33</v>
      </c>
      <c r="W30" s="55">
        <v>100</v>
      </c>
      <c r="X30" s="150"/>
      <c r="Y30" s="75">
        <f t="shared" si="6"/>
        <v>28</v>
      </c>
      <c r="Z30" s="54">
        <v>90.83</v>
      </c>
      <c r="AA30" s="55">
        <v>868</v>
      </c>
      <c r="AB30" s="150"/>
      <c r="AC30" s="75">
        <f t="shared" si="7"/>
        <v>28</v>
      </c>
      <c r="AD30" s="54">
        <v>9.2799999999999994</v>
      </c>
      <c r="AE30" s="55">
        <v>75</v>
      </c>
      <c r="AF30" s="150"/>
      <c r="AG30" s="75">
        <f t="shared" si="8"/>
        <v>28</v>
      </c>
      <c r="AH30" s="54">
        <v>16.060000000000002</v>
      </c>
      <c r="AI30" s="55">
        <v>70</v>
      </c>
      <c r="AJ30" s="150"/>
      <c r="AK30" s="75">
        <f t="shared" si="9"/>
        <v>28</v>
      </c>
      <c r="AL30" s="54">
        <v>30.63</v>
      </c>
      <c r="AM30" s="55">
        <v>120</v>
      </c>
      <c r="AN30" s="150"/>
      <c r="AO30" s="75">
        <f t="shared" si="10"/>
        <v>28</v>
      </c>
      <c r="AP30" s="54">
        <v>10.180000000000001</v>
      </c>
      <c r="AQ30" s="55">
        <v>21</v>
      </c>
      <c r="AR30" s="150"/>
      <c r="AS30" s="75">
        <f t="shared" si="11"/>
        <v>28</v>
      </c>
      <c r="AT30" s="54">
        <v>6</v>
      </c>
      <c r="AU30" s="55">
        <v>10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10</v>
      </c>
      <c r="C31" s="55">
        <v>20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/>
      <c r="M31" s="75">
        <f t="shared" si="3"/>
        <v>29</v>
      </c>
      <c r="N31" s="54">
        <v>20.25</v>
      </c>
      <c r="O31" s="55">
        <v>89</v>
      </c>
      <c r="P31" s="150"/>
      <c r="Q31" s="75">
        <f t="shared" si="4"/>
        <v>29</v>
      </c>
      <c r="R31" s="54">
        <v>10.01</v>
      </c>
      <c r="S31" s="55">
        <v>30</v>
      </c>
      <c r="T31" s="150"/>
      <c r="U31" s="75">
        <f t="shared" si="5"/>
        <v>29</v>
      </c>
      <c r="V31" s="54">
        <v>26.43</v>
      </c>
      <c r="W31" s="55">
        <v>185</v>
      </c>
      <c r="X31" s="150"/>
      <c r="Y31" s="75">
        <f t="shared" si="6"/>
        <v>29</v>
      </c>
      <c r="Z31" s="54">
        <v>10.47</v>
      </c>
      <c r="AA31" s="55">
        <v>25</v>
      </c>
      <c r="AB31" s="150"/>
      <c r="AC31" s="75">
        <f t="shared" si="7"/>
        <v>29</v>
      </c>
      <c r="AD31" s="54">
        <v>14.86</v>
      </c>
      <c r="AE31" s="55">
        <v>240</v>
      </c>
      <c r="AF31" s="150"/>
      <c r="AG31" s="75">
        <f t="shared" si="8"/>
        <v>29</v>
      </c>
      <c r="AH31" s="54">
        <v>35.659999999999997</v>
      </c>
      <c r="AI31" s="55">
        <v>200</v>
      </c>
      <c r="AJ31" s="150"/>
      <c r="AK31" s="75">
        <f t="shared" si="9"/>
        <v>29</v>
      </c>
      <c r="AL31" s="54">
        <v>10.33</v>
      </c>
      <c r="AM31" s="55">
        <v>35</v>
      </c>
      <c r="AN31" s="150"/>
      <c r="AO31" s="75">
        <f t="shared" si="10"/>
        <v>29</v>
      </c>
      <c r="AP31" s="54">
        <v>11</v>
      </c>
      <c r="AQ31" s="55">
        <v>30</v>
      </c>
      <c r="AR31" s="150"/>
      <c r="AS31" s="75">
        <f t="shared" si="11"/>
        <v>29</v>
      </c>
      <c r="AT31" s="54">
        <v>30.64</v>
      </c>
      <c r="AU31" s="55">
        <v>380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10.349999999999998</v>
      </c>
      <c r="C32" s="55">
        <v>40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11.42</v>
      </c>
      <c r="O32" s="55">
        <v>25</v>
      </c>
      <c r="P32" s="150"/>
      <c r="Q32" s="75">
        <f t="shared" si="4"/>
        <v>30</v>
      </c>
      <c r="R32" s="54">
        <v>11.2</v>
      </c>
      <c r="S32" s="55">
        <v>25</v>
      </c>
      <c r="T32" s="150"/>
      <c r="U32" s="75">
        <f t="shared" si="5"/>
        <v>30</v>
      </c>
      <c r="V32" s="54">
        <v>22.650000000000002</v>
      </c>
      <c r="W32" s="55">
        <v>137</v>
      </c>
      <c r="X32" s="150">
        <v>1.1111111111111112E-2</v>
      </c>
      <c r="Y32" s="75">
        <f t="shared" si="6"/>
        <v>30</v>
      </c>
      <c r="Z32" s="54">
        <v>10.5</v>
      </c>
      <c r="AA32" s="55">
        <v>25</v>
      </c>
      <c r="AB32" s="150"/>
      <c r="AC32" s="75">
        <f t="shared" si="7"/>
        <v>30</v>
      </c>
      <c r="AD32" s="54">
        <v>5.15</v>
      </c>
      <c r="AE32" s="55">
        <v>3</v>
      </c>
      <c r="AF32" s="150"/>
      <c r="AG32" s="75">
        <f t="shared" si="8"/>
        <v>30</v>
      </c>
      <c r="AH32" s="54">
        <v>22.55</v>
      </c>
      <c r="AI32" s="55">
        <v>115</v>
      </c>
      <c r="AJ32" s="150"/>
      <c r="AK32" s="75">
        <f t="shared" si="9"/>
        <v>30</v>
      </c>
      <c r="AL32" s="54"/>
      <c r="AM32" s="55"/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>
        <v>24.66</v>
      </c>
      <c r="AU32" s="55">
        <v>25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5</v>
      </c>
      <c r="C33" s="63">
        <v>3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84.490000000000009</v>
      </c>
      <c r="S33" s="63">
        <v>785</v>
      </c>
      <c r="T33" s="151"/>
      <c r="U33" s="76"/>
      <c r="V33" s="62"/>
      <c r="W33" s="63"/>
      <c r="X33" s="151"/>
      <c r="Y33" s="76">
        <f t="shared" si="6"/>
        <v>31</v>
      </c>
      <c r="Z33" s="62">
        <v>10.06</v>
      </c>
      <c r="AA33" s="63">
        <v>65</v>
      </c>
      <c r="AB33" s="151"/>
      <c r="AC33" s="76">
        <f t="shared" si="7"/>
        <v>31</v>
      </c>
      <c r="AD33" s="62">
        <v>10</v>
      </c>
      <c r="AE33" s="63">
        <v>310</v>
      </c>
      <c r="AF33" s="151"/>
      <c r="AG33" s="76"/>
      <c r="AH33" s="62"/>
      <c r="AI33" s="63"/>
      <c r="AJ33" s="151"/>
      <c r="AK33" s="76">
        <f t="shared" si="9"/>
        <v>31</v>
      </c>
      <c r="AL33" s="62">
        <v>10.3</v>
      </c>
      <c r="AM33" s="63">
        <v>35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10.1</v>
      </c>
      <c r="AU33" s="63">
        <v>306</v>
      </c>
      <c r="AV33" s="151">
        <v>2.0833333333333332E-2</v>
      </c>
      <c r="AW33" s="67"/>
    </row>
    <row r="34" spans="1:49" s="49" customFormat="1" ht="11.25" x14ac:dyDescent="0.2">
      <c r="A34" s="45" t="s">
        <v>92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1.25" x14ac:dyDescent="0.2">
      <c r="A35" s="46" t="s">
        <v>93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1.25" x14ac:dyDescent="0.2">
      <c r="A36" s="49" t="s">
        <v>149</v>
      </c>
      <c r="B36" s="47">
        <f>MAX(B3:B33)</f>
        <v>66.66</v>
      </c>
      <c r="C36" s="55">
        <f>MAX(C3:C33)</f>
        <v>387</v>
      </c>
      <c r="D36" s="152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52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52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52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52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52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52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52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52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52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52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14.452068965517242</v>
      </c>
      <c r="C37" s="55">
        <f>IFERROR(AVERAGE(C3:C33),0)</f>
        <v>88.068965517241381</v>
      </c>
      <c r="D37" s="152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52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52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52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52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52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52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52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52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52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52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52">
        <f>IFERROR(AVERAGE(AV3:AV33),0)</f>
        <v>1.5625E-2</v>
      </c>
      <c r="AW37" s="67"/>
    </row>
    <row r="38" spans="1:49" s="49" customFormat="1" ht="11.25" x14ac:dyDescent="0.2">
      <c r="A38" s="49" t="s">
        <v>236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1095.27</v>
      </c>
      <c r="K39" s="51">
        <f t="shared" ref="K39:L39" si="12">SUM(C34,G34,K34)</f>
        <v>6259</v>
      </c>
      <c r="L39" s="170">
        <f t="shared" si="12"/>
        <v>108</v>
      </c>
      <c r="M39" s="168"/>
      <c r="P39" s="169"/>
      <c r="Q39" s="168"/>
      <c r="T39" s="169"/>
      <c r="U39" s="168"/>
      <c r="V39" s="50">
        <f>SUM(N34,R34,V34)</f>
        <v>1677.99</v>
      </c>
      <c r="W39" s="51">
        <f>SUM(O34,S34,W34)</f>
        <v>18590</v>
      </c>
      <c r="X39" s="170">
        <f>SUM(P34,T34,X34)</f>
        <v>30.400000000000002</v>
      </c>
      <c r="Y39" s="168"/>
      <c r="AB39" s="169"/>
      <c r="AC39" s="168"/>
      <c r="AF39" s="169"/>
      <c r="AG39" s="168"/>
      <c r="AH39" s="86">
        <f>SUM(Z34,AD34,AH34)</f>
        <v>1536.3099999999997</v>
      </c>
      <c r="AI39" s="51">
        <f>SUM(AA34,AE34,AI34)</f>
        <v>11760</v>
      </c>
      <c r="AJ39" s="170">
        <f>SUM(AB34,AF34,AJ34)</f>
        <v>62</v>
      </c>
      <c r="AK39" s="168"/>
      <c r="AN39" s="169"/>
      <c r="AO39" s="168"/>
      <c r="AR39" s="169"/>
      <c r="AS39" s="168"/>
      <c r="AT39" s="50">
        <f>SUM(AL34,AP34,AT34)</f>
        <v>1468.58</v>
      </c>
      <c r="AU39" s="51">
        <f>SUM(AM34,AQ34,AU34)</f>
        <v>8052</v>
      </c>
      <c r="AV39" s="170">
        <f>SUM(AN34,AR34,AV34)</f>
        <v>36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52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52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52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52">
        <f>IFERROR(AVERAGE(AN37,AR37,AV37),0)</f>
        <v>1.5625E-2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17.438365124977199</v>
      </c>
      <c r="C42" s="87">
        <f>AB1</f>
        <v>136.21705713401113</v>
      </c>
      <c r="D42" s="88"/>
      <c r="E42" s="176" t="s">
        <v>399</v>
      </c>
      <c r="F42" s="177">
        <f>SUM(J23:J33,N3:N33,R3:R33,V3:V33,Z3:Z33,AD3:AD33,AH3:AH23)</f>
        <v>3113.4700000000003</v>
      </c>
      <c r="G42" s="178">
        <f>SUM(K23:K33,O3:O32,S3:S33,W3:W32,AA3:AA33,AE3:AE33,AI3:AI23)</f>
        <v>29906</v>
      </c>
      <c r="H42" s="179"/>
      <c r="I42" s="179"/>
      <c r="J42" s="180">
        <f>IFERROR(F42/(F42+F43),0)</f>
        <v>0.53883509427758025</v>
      </c>
      <c r="K42" s="180">
        <f>IFERROR(G42/(G42+G43),0)</f>
        <v>0.66962226551129622</v>
      </c>
      <c r="L42" s="179"/>
      <c r="M42" s="259" t="s">
        <v>600</v>
      </c>
      <c r="N42" s="257">
        <v>40</v>
      </c>
      <c r="O42" s="78">
        <f>N42-'17'!N42</f>
        <v>-36</v>
      </c>
      <c r="Y42" s="144"/>
      <c r="AK42" s="211" t="s">
        <v>478</v>
      </c>
      <c r="AL42" s="47">
        <f>MAX(B34,F34,J34,N34,R34,V34,Z34,AD34,AH34,AL34,AP34,AT34)</f>
        <v>648.05999999999995</v>
      </c>
      <c r="AM42" s="212">
        <f>MAX(C34,G34,K34,O34,S34,W34,AA34,AE34,AI34,AM34,AQ34,AU34)</f>
        <v>6601</v>
      </c>
      <c r="AN42" s="49" t="s">
        <v>346</v>
      </c>
      <c r="AO42" s="210" t="s">
        <v>344</v>
      </c>
      <c r="AP42" s="54">
        <f>R1-'17'!R1</f>
        <v>44.189999999999969</v>
      </c>
      <c r="AQ42" s="78">
        <f>AF1-'17'!AF1</f>
        <v>-49</v>
      </c>
      <c r="AR42" s="49" t="s">
        <v>345</v>
      </c>
      <c r="AS42" s="209" t="s">
        <v>344</v>
      </c>
      <c r="AT42" s="54">
        <f>I1-'17'!I1</f>
        <v>-0.17000000000000171</v>
      </c>
      <c r="AU42" s="78">
        <f>AN1-'17'!AN1</f>
        <v>182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15.830547945205478</v>
      </c>
      <c r="C43" s="87">
        <f>AU1/365</f>
        <v>122.35890410958905</v>
      </c>
      <c r="D43" s="88"/>
      <c r="E43" s="172" t="s">
        <v>400</v>
      </c>
      <c r="F43" s="173">
        <f>E1-F42</f>
        <v>2664.6799999999994</v>
      </c>
      <c r="G43" s="174">
        <f>AU1-G42</f>
        <v>14755</v>
      </c>
      <c r="H43" s="175"/>
      <c r="I43" s="175"/>
      <c r="J43" s="181">
        <f>IFERROR(F43/(F42+F43),0)</f>
        <v>0.46116490572241975</v>
      </c>
      <c r="K43" s="181">
        <f>IFERROR(G43/(G42+G43),0)</f>
        <v>0.33037773448870378</v>
      </c>
      <c r="L43" s="175"/>
      <c r="M43" s="65" t="s">
        <v>601</v>
      </c>
      <c r="N43" s="258">
        <v>8</v>
      </c>
      <c r="O43" s="78">
        <f>N43-'17'!N43</f>
        <v>0</v>
      </c>
      <c r="Y43" s="67"/>
      <c r="AK43" s="213" t="s">
        <v>481</v>
      </c>
      <c r="AL43" s="188">
        <f>IF($B$1&lt;&gt;0,$AV$35/$B1,0)</f>
        <v>3.9304686136119912E-2</v>
      </c>
      <c r="AO43" s="209" t="s">
        <v>344</v>
      </c>
      <c r="AP43" s="54">
        <f>AV35-'17'!AV35</f>
        <v>-251.20000000000002</v>
      </c>
      <c r="AQ43" s="188">
        <f>AL43-'17'!AL43</f>
        <v>-2.8197030478494575E-2</v>
      </c>
      <c r="AR43" s="49" t="s">
        <v>204</v>
      </c>
      <c r="AS43" s="209" t="s">
        <v>344</v>
      </c>
      <c r="AT43" s="54">
        <f>B1-'17'!B1</f>
        <v>-1208.9700000000012</v>
      </c>
      <c r="AU43" s="78">
        <f>AU1-'17'!AU1</f>
        <v>-7888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97" priority="97" operator="equal">
      <formula>$R$1</formula>
    </cfRule>
    <cfRule type="cellIs" dxfId="96" priority="98" operator="equal">
      <formula>$M$1</formula>
    </cfRule>
  </conditionalFormatting>
  <conditionalFormatting sqref="C34 G34 K34 O34 S34 W34 AA34 AE34 AI34 AM34 AQ34 AU34">
    <cfRule type="cellIs" dxfId="95" priority="96" operator="equal">
      <formula>$AF$1</formula>
    </cfRule>
    <cfRule type="cellIs" dxfId="94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93" priority="93" operator="lessThan">
      <formula>0</formula>
    </cfRule>
    <cfRule type="cellIs" dxfId="92" priority="94" operator="greaterThanOrEqual">
      <formula>0</formula>
    </cfRule>
  </conditionalFormatting>
  <conditionalFormatting sqref="C38 AU42:AU43 AQ42 G38 K38 O38 S38 W38 AA38 AE38 AI38 AM38 AQ38 AU38">
    <cfRule type="cellIs" dxfId="91" priority="91" operator="lessThan">
      <formula>0</formula>
    </cfRule>
    <cfRule type="cellIs" dxfId="90" priority="92" operator="greaterThanOrEqual">
      <formula>0</formula>
    </cfRule>
  </conditionalFormatting>
  <conditionalFormatting sqref="D38">
    <cfRule type="cellIs" dxfId="89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88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87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86" priority="67" operator="equal">
      <formula>MAX($D$36,$H$36,$L$36,$P$36,$T$36,$X$36,$AB$36,$AF$36,$AJ$36,$AN$36,$AR$36,$AV$36)</formula>
    </cfRule>
  </conditionalFormatting>
  <conditionalFormatting sqref="AP43">
    <cfRule type="cellIs" dxfId="85" priority="65" operator="lessThan">
      <formula>0</formula>
    </cfRule>
    <cfRule type="cellIs" dxfId="84" priority="66" operator="greaterThanOrEqual">
      <formula>0</formula>
    </cfRule>
  </conditionalFormatting>
  <conditionalFormatting sqref="AQ43">
    <cfRule type="cellIs" dxfId="83" priority="63" stopIfTrue="1" operator="lessThan">
      <formula>0</formula>
    </cfRule>
    <cfRule type="cellIs" dxfId="82" priority="64" operator="greaterThanOrEqual">
      <formula>0</formula>
    </cfRule>
  </conditionalFormatting>
  <conditionalFormatting sqref="AL42">
    <cfRule type="cellIs" dxfId="81" priority="58" stopIfTrue="1" operator="lessThan">
      <formula>1000</formula>
    </cfRule>
    <cfRule type="cellIs" dxfId="80" priority="59" stopIfTrue="1" operator="lessThan">
      <formula>1100</formula>
    </cfRule>
    <cfRule type="cellIs" dxfId="79" priority="60" stopIfTrue="1" operator="lessThan">
      <formula>9999</formula>
    </cfRule>
  </conditionalFormatting>
  <conditionalFormatting sqref="AM42">
    <cfRule type="cellIs" dxfId="78" priority="55" stopIfTrue="1" operator="lessThan">
      <formula>10000</formula>
    </cfRule>
    <cfRule type="cellIs" dxfId="77" priority="56" stopIfTrue="1" operator="lessThan">
      <formula>13000</formula>
    </cfRule>
    <cfRule type="cellIs" dxfId="76" priority="57" stopIfTrue="1" operator="lessThan">
      <formula>99999</formula>
    </cfRule>
  </conditionalFormatting>
  <conditionalFormatting sqref="AL43">
    <cfRule type="cellIs" dxfId="75" priority="52" stopIfTrue="1" operator="lessThan">
      <formula>0.05</formula>
    </cfRule>
    <cfRule type="cellIs" dxfId="74" priority="53" stopIfTrue="1" operator="lessThan">
      <formula>0.1</formula>
    </cfRule>
    <cfRule type="cellIs" dxfId="73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72" priority="79" stopIfTrue="1" operator="between">
      <formula>0</formula>
      <formula>0.0416550925925926</formula>
    </cfRule>
    <cfRule type="cellIs" dxfId="71" priority="80" stopIfTrue="1" operator="between">
      <formula>0.0416666666666667</formula>
      <formula>0.0833217592592593</formula>
    </cfRule>
    <cfRule type="cellIs" dxfId="70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69" priority="85" stopIfTrue="1" operator="between">
      <formula>0</formula>
      <formula>749.99</formula>
    </cfRule>
    <cfRule type="cellIs" dxfId="68" priority="86" stopIfTrue="1" operator="greaterThanOrEqual">
      <formula>1500</formula>
    </cfRule>
    <cfRule type="cellIs" dxfId="67" priority="87" operator="greaterThanOrEqual">
      <formula>750</formula>
    </cfRule>
  </conditionalFormatting>
  <conditionalFormatting sqref="B3:B33 F3:F33 J3:J33 R3:R33 V3:V33 Z3:Z33 AT3:AT33 AH3:AH33 AL3:AL33 AP3:AP33 N3:N33 AD3:AD33">
    <cfRule type="cellIs" dxfId="66" priority="88" stopIfTrue="1" operator="lessThan">
      <formula>50</formula>
    </cfRule>
    <cfRule type="cellIs" dxfId="65" priority="89" stopIfTrue="1" operator="greaterThanOrEqual">
      <formula>100</formula>
    </cfRule>
    <cfRule type="cellIs" dxfId="64" priority="90" operator="greaterThanOrEqual">
      <formula>50</formula>
    </cfRule>
  </conditionalFormatting>
  <conditionalFormatting sqref="O42">
    <cfRule type="cellIs" dxfId="63" priority="7" operator="lessThan">
      <formula>0</formula>
    </cfRule>
    <cfRule type="cellIs" dxfId="62" priority="8" operator="greaterThanOrEqual">
      <formula>0</formula>
    </cfRule>
  </conditionalFormatting>
  <conditionalFormatting sqref="O42">
    <cfRule type="cellIs" dxfId="61" priority="5" operator="lessThan">
      <formula>0</formula>
    </cfRule>
    <cfRule type="cellIs" dxfId="60" priority="6" operator="greaterThanOrEqual">
      <formula>0</formula>
    </cfRule>
  </conditionalFormatting>
  <conditionalFormatting sqref="O43">
    <cfRule type="cellIs" dxfId="59" priority="3" operator="lessThan">
      <formula>0</formula>
    </cfRule>
    <cfRule type="cellIs" dxfId="58" priority="4" operator="greaterThanOrEqual">
      <formula>0</formula>
    </cfRule>
  </conditionalFormatting>
  <conditionalFormatting sqref="O43">
    <cfRule type="cellIs" dxfId="57" priority="1" operator="lessThan">
      <formula>0</formula>
    </cfRule>
    <cfRule type="cellIs" dxfId="56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04" t="s">
        <v>506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</row>
    <row r="3" spans="1:23" s="45" customFormat="1" x14ac:dyDescent="0.2">
      <c r="A3" s="284" t="s">
        <v>287</v>
      </c>
      <c r="B3" s="281" t="s">
        <v>841</v>
      </c>
      <c r="C3" s="282" t="s">
        <v>942</v>
      </c>
      <c r="D3" s="281" t="s">
        <v>687</v>
      </c>
      <c r="E3" s="282" t="s">
        <v>688</v>
      </c>
      <c r="F3" s="329" t="s">
        <v>689</v>
      </c>
      <c r="G3" s="282" t="s">
        <v>943</v>
      </c>
      <c r="H3" s="281" t="s">
        <v>690</v>
      </c>
      <c r="I3" s="282" t="s">
        <v>691</v>
      </c>
      <c r="J3" s="281" t="s">
        <v>945</v>
      </c>
      <c r="K3" s="282" t="s">
        <v>944</v>
      </c>
      <c r="L3" s="329" t="s">
        <v>792</v>
      </c>
      <c r="M3" s="282" t="s">
        <v>793</v>
      </c>
      <c r="N3" s="281"/>
      <c r="O3" s="282"/>
      <c r="P3" s="281" t="s">
        <v>604</v>
      </c>
      <c r="Q3" s="282" t="s">
        <v>697</v>
      </c>
      <c r="R3" s="281" t="s">
        <v>53</v>
      </c>
      <c r="S3" s="282"/>
      <c r="T3" s="329" t="s">
        <v>707</v>
      </c>
      <c r="U3" s="282" t="s">
        <v>708</v>
      </c>
      <c r="V3" s="281"/>
      <c r="W3" s="282"/>
    </row>
    <row r="4" spans="1:23" x14ac:dyDescent="0.2">
      <c r="A4" s="285" t="s">
        <v>695</v>
      </c>
      <c r="B4" s="278">
        <v>2.6</v>
      </c>
      <c r="C4" s="279">
        <v>70</v>
      </c>
      <c r="D4" s="278">
        <v>3.35</v>
      </c>
      <c r="E4" s="279">
        <v>20</v>
      </c>
      <c r="F4" s="278">
        <v>0.7</v>
      </c>
      <c r="G4" s="279">
        <v>30</v>
      </c>
      <c r="H4" s="278">
        <v>1.06</v>
      </c>
      <c r="I4" s="279">
        <v>65</v>
      </c>
      <c r="J4" s="278">
        <v>1.6</v>
      </c>
      <c r="K4" s="279">
        <v>20</v>
      </c>
      <c r="L4" s="278">
        <v>2</v>
      </c>
      <c r="M4" s="279">
        <v>3</v>
      </c>
      <c r="N4" s="278"/>
      <c r="O4" s="279"/>
      <c r="P4" s="278">
        <v>1.87</v>
      </c>
      <c r="Q4" s="279">
        <v>25</v>
      </c>
      <c r="R4" s="278">
        <v>5.3</v>
      </c>
      <c r="S4" s="279">
        <v>67</v>
      </c>
      <c r="T4" s="278">
        <v>4.12</v>
      </c>
      <c r="U4" s="279">
        <v>25</v>
      </c>
      <c r="V4" s="278"/>
      <c r="W4" s="279"/>
    </row>
    <row r="5" spans="1:23" x14ac:dyDescent="0.2">
      <c r="A5" s="269">
        <v>3</v>
      </c>
      <c r="B5" s="145">
        <f>$A$5*B4</f>
        <v>7.8000000000000007</v>
      </c>
      <c r="C5" s="208">
        <f t="shared" ref="C5:W5" si="0">$A$5*C4</f>
        <v>210</v>
      </c>
      <c r="D5" s="145">
        <f t="shared" si="0"/>
        <v>10.050000000000001</v>
      </c>
      <c r="E5" s="208">
        <f t="shared" si="0"/>
        <v>60</v>
      </c>
      <c r="F5" s="145">
        <f t="shared" si="0"/>
        <v>2.0999999999999996</v>
      </c>
      <c r="G5" s="208">
        <f t="shared" si="0"/>
        <v>90</v>
      </c>
      <c r="H5" s="145">
        <f t="shared" si="0"/>
        <v>3.18</v>
      </c>
      <c r="I5" s="208">
        <f t="shared" si="0"/>
        <v>195</v>
      </c>
      <c r="J5" s="145">
        <f t="shared" si="0"/>
        <v>4.8000000000000007</v>
      </c>
      <c r="K5" s="208">
        <f t="shared" si="0"/>
        <v>60</v>
      </c>
      <c r="L5" s="145">
        <f t="shared" si="0"/>
        <v>6</v>
      </c>
      <c r="M5" s="208">
        <f t="shared" si="0"/>
        <v>9</v>
      </c>
      <c r="N5" s="145">
        <f t="shared" si="0"/>
        <v>0</v>
      </c>
      <c r="O5" s="208">
        <f t="shared" si="0"/>
        <v>0</v>
      </c>
      <c r="P5" s="145">
        <f t="shared" si="0"/>
        <v>5.61</v>
      </c>
      <c r="Q5" s="208">
        <f t="shared" si="0"/>
        <v>75</v>
      </c>
      <c r="R5" s="145">
        <f t="shared" si="0"/>
        <v>15.899999999999999</v>
      </c>
      <c r="S5" s="208">
        <f t="shared" si="0"/>
        <v>201</v>
      </c>
      <c r="T5" s="145">
        <f t="shared" si="0"/>
        <v>12.36</v>
      </c>
      <c r="U5" s="208">
        <f t="shared" si="0"/>
        <v>75</v>
      </c>
      <c r="V5" s="145">
        <f t="shared" si="0"/>
        <v>0</v>
      </c>
      <c r="W5" s="208">
        <f t="shared" si="0"/>
        <v>0</v>
      </c>
    </row>
    <row r="7" spans="1:23" x14ac:dyDescent="0.2">
      <c r="A7" s="214" t="s">
        <v>807</v>
      </c>
      <c r="B7" s="270" t="s">
        <v>238</v>
      </c>
      <c r="C7" s="271" t="s">
        <v>2</v>
      </c>
      <c r="E7" s="214" t="s">
        <v>614</v>
      </c>
      <c r="F7" s="270" t="s">
        <v>238</v>
      </c>
      <c r="G7" s="271" t="s">
        <v>2</v>
      </c>
      <c r="I7" s="214" t="s">
        <v>719</v>
      </c>
      <c r="J7" s="270" t="s">
        <v>238</v>
      </c>
      <c r="K7" s="271" t="s">
        <v>2</v>
      </c>
      <c r="M7" s="292" t="s">
        <v>626</v>
      </c>
      <c r="N7" s="270" t="s">
        <v>238</v>
      </c>
      <c r="O7" s="270" t="s">
        <v>2</v>
      </c>
      <c r="P7" s="270" t="s">
        <v>940</v>
      </c>
      <c r="Q7" s="271" t="s">
        <v>941</v>
      </c>
      <c r="S7" s="406" t="s">
        <v>698</v>
      </c>
      <c r="T7" s="407"/>
      <c r="U7" s="407"/>
      <c r="V7" s="407"/>
      <c r="W7" s="408"/>
    </row>
    <row r="8" spans="1:23" x14ac:dyDescent="0.2">
      <c r="A8" s="65" t="s">
        <v>605</v>
      </c>
      <c r="B8" s="11">
        <v>11.2</v>
      </c>
      <c r="C8" s="207">
        <v>90</v>
      </c>
      <c r="E8" s="65" t="s">
        <v>864</v>
      </c>
      <c r="F8" s="11">
        <v>3</v>
      </c>
      <c r="G8" s="207">
        <v>35</v>
      </c>
      <c r="H8" s="5"/>
      <c r="I8" s="65" t="s">
        <v>652</v>
      </c>
      <c r="J8" s="11">
        <v>0.61</v>
      </c>
      <c r="K8" s="207">
        <v>5</v>
      </c>
      <c r="M8" s="65" t="s">
        <v>625</v>
      </c>
      <c r="N8" s="11">
        <v>0.75</v>
      </c>
      <c r="O8">
        <v>1</v>
      </c>
      <c r="P8" s="262">
        <f t="shared" ref="P8:Q14" si="1">N8*$A$5</f>
        <v>2.25</v>
      </c>
      <c r="Q8" s="207">
        <f t="shared" si="1"/>
        <v>3</v>
      </c>
      <c r="S8" s="65" t="s">
        <v>692</v>
      </c>
      <c r="T8" s="11">
        <v>3.6</v>
      </c>
      <c r="U8">
        <v>40</v>
      </c>
      <c r="V8" s="262">
        <f t="shared" ref="V8:W14" si="2">T8*$A$5</f>
        <v>10.8</v>
      </c>
      <c r="W8" s="207">
        <f t="shared" si="2"/>
        <v>120</v>
      </c>
    </row>
    <row r="9" spans="1:23" x14ac:dyDescent="0.2">
      <c r="A9" s="65" t="s">
        <v>714</v>
      </c>
      <c r="B9" s="11">
        <v>11.3</v>
      </c>
      <c r="C9" s="207">
        <v>60</v>
      </c>
      <c r="E9" s="65" t="s">
        <v>865</v>
      </c>
      <c r="F9" s="11">
        <v>3</v>
      </c>
      <c r="G9" s="207">
        <v>37</v>
      </c>
      <c r="H9" s="5"/>
      <c r="I9" s="65" t="s">
        <v>615</v>
      </c>
      <c r="J9" s="11">
        <v>0.62</v>
      </c>
      <c r="K9" s="207">
        <v>1</v>
      </c>
      <c r="M9" s="65" t="s">
        <v>543</v>
      </c>
      <c r="N9" s="11">
        <v>1.5</v>
      </c>
      <c r="O9">
        <v>1</v>
      </c>
      <c r="P9" s="263">
        <f t="shared" si="1"/>
        <v>4.5</v>
      </c>
      <c r="Q9" s="207">
        <f t="shared" si="1"/>
        <v>3</v>
      </c>
      <c r="S9" s="65" t="s">
        <v>693</v>
      </c>
      <c r="T9" s="11">
        <v>4</v>
      </c>
      <c r="U9">
        <v>50</v>
      </c>
      <c r="V9" s="263">
        <f t="shared" si="2"/>
        <v>12</v>
      </c>
      <c r="W9" s="207">
        <f t="shared" si="2"/>
        <v>150</v>
      </c>
    </row>
    <row r="10" spans="1:23" x14ac:dyDescent="0.2">
      <c r="A10" s="65" t="s">
        <v>805</v>
      </c>
      <c r="B10" s="11">
        <v>11.6</v>
      </c>
      <c r="C10" s="207">
        <v>45</v>
      </c>
      <c r="E10" s="65" t="s">
        <v>866</v>
      </c>
      <c r="F10" s="11">
        <v>3.17</v>
      </c>
      <c r="G10" s="207">
        <v>15</v>
      </c>
      <c r="H10" s="5"/>
      <c r="I10" s="65" t="s">
        <v>503</v>
      </c>
      <c r="J10" s="11">
        <v>0.64</v>
      </c>
      <c r="K10" s="207">
        <v>5</v>
      </c>
      <c r="M10" s="65" t="s">
        <v>628</v>
      </c>
      <c r="N10" s="11">
        <v>1.88</v>
      </c>
      <c r="O10">
        <v>7</v>
      </c>
      <c r="P10" s="263">
        <f t="shared" si="1"/>
        <v>5.64</v>
      </c>
      <c r="Q10" s="207">
        <f t="shared" si="1"/>
        <v>21</v>
      </c>
      <c r="S10" s="65" t="s">
        <v>696</v>
      </c>
      <c r="T10" s="11">
        <v>7</v>
      </c>
      <c r="U10">
        <v>100</v>
      </c>
      <c r="V10" s="263">
        <f t="shared" si="2"/>
        <v>21</v>
      </c>
      <c r="W10" s="207">
        <f t="shared" si="2"/>
        <v>300</v>
      </c>
    </row>
    <row r="11" spans="1:23" x14ac:dyDescent="0.2">
      <c r="A11" s="65" t="s">
        <v>623</v>
      </c>
      <c r="B11" s="11">
        <v>11.6</v>
      </c>
      <c r="C11" s="207">
        <v>150</v>
      </c>
      <c r="E11" s="65" t="s">
        <v>505</v>
      </c>
      <c r="F11" s="11">
        <v>3.24</v>
      </c>
      <c r="G11" s="207">
        <v>18</v>
      </c>
      <c r="H11" s="5"/>
      <c r="I11" s="65" t="s">
        <v>773</v>
      </c>
      <c r="J11" s="11">
        <v>0.66</v>
      </c>
      <c r="K11" s="207">
        <v>10</v>
      </c>
      <c r="M11" s="65" t="s">
        <v>627</v>
      </c>
      <c r="N11" s="11">
        <v>3.17</v>
      </c>
      <c r="O11">
        <v>20</v>
      </c>
      <c r="P11" s="263">
        <f t="shared" si="1"/>
        <v>9.51</v>
      </c>
      <c r="Q11" s="207">
        <f t="shared" si="1"/>
        <v>60</v>
      </c>
      <c r="S11" s="65" t="s">
        <v>694</v>
      </c>
      <c r="T11" s="11">
        <v>8</v>
      </c>
      <c r="U11">
        <v>130</v>
      </c>
      <c r="V11" s="263">
        <f t="shared" si="2"/>
        <v>24</v>
      </c>
      <c r="W11" s="207">
        <f t="shared" si="2"/>
        <v>390</v>
      </c>
    </row>
    <row r="12" spans="1:23" x14ac:dyDescent="0.2">
      <c r="A12" s="65" t="s">
        <v>673</v>
      </c>
      <c r="B12" s="11">
        <v>12</v>
      </c>
      <c r="C12" s="207">
        <v>40</v>
      </c>
      <c r="E12" s="65" t="s">
        <v>861</v>
      </c>
      <c r="F12" s="11">
        <v>3.32</v>
      </c>
      <c r="G12" s="207">
        <v>30</v>
      </c>
      <c r="H12" s="5"/>
      <c r="I12" s="65" t="s">
        <v>572</v>
      </c>
      <c r="J12" s="11">
        <v>0.7</v>
      </c>
      <c r="K12" s="207">
        <v>5</v>
      </c>
      <c r="M12" s="65" t="s">
        <v>629</v>
      </c>
      <c r="N12" s="11">
        <v>4.21</v>
      </c>
      <c r="O12">
        <v>25</v>
      </c>
      <c r="P12" s="263">
        <f t="shared" si="1"/>
        <v>12.629999999999999</v>
      </c>
      <c r="Q12" s="207">
        <f t="shared" si="1"/>
        <v>75</v>
      </c>
      <c r="S12" s="65"/>
      <c r="T12" s="11"/>
      <c r="V12" s="263">
        <f t="shared" si="2"/>
        <v>0</v>
      </c>
      <c r="W12" s="207">
        <f t="shared" si="2"/>
        <v>0</v>
      </c>
    </row>
    <row r="13" spans="1:23" x14ac:dyDescent="0.2">
      <c r="A13" s="65" t="s">
        <v>621</v>
      </c>
      <c r="B13" s="11">
        <v>12.2</v>
      </c>
      <c r="C13" s="207">
        <v>85</v>
      </c>
      <c r="E13" s="65" t="s">
        <v>880</v>
      </c>
      <c r="F13" s="11">
        <v>3.5</v>
      </c>
      <c r="G13" s="207">
        <v>65</v>
      </c>
      <c r="H13" s="5"/>
      <c r="I13" s="65" t="s">
        <v>779</v>
      </c>
      <c r="J13" s="11">
        <v>0.7</v>
      </c>
      <c r="K13" s="207">
        <v>20</v>
      </c>
      <c r="M13" s="65" t="s">
        <v>727</v>
      </c>
      <c r="N13" s="11">
        <v>4.7699999999999996</v>
      </c>
      <c r="O13">
        <v>45</v>
      </c>
      <c r="P13" s="263">
        <f t="shared" si="1"/>
        <v>14.309999999999999</v>
      </c>
      <c r="Q13" s="207">
        <f t="shared" si="1"/>
        <v>135</v>
      </c>
      <c r="S13" s="65"/>
      <c r="T13" s="11"/>
      <c r="V13" s="263">
        <f t="shared" si="2"/>
        <v>0</v>
      </c>
      <c r="W13" s="207">
        <f t="shared" si="2"/>
        <v>0</v>
      </c>
    </row>
    <row r="14" spans="1:23" x14ac:dyDescent="0.2">
      <c r="A14" s="65" t="s">
        <v>555</v>
      </c>
      <c r="B14" s="11">
        <v>12.75</v>
      </c>
      <c r="C14" s="207">
        <v>245</v>
      </c>
      <c r="E14" s="65" t="s">
        <v>862</v>
      </c>
      <c r="F14" s="11">
        <v>3.8</v>
      </c>
      <c r="G14" s="207">
        <v>4</v>
      </c>
      <c r="H14" s="5"/>
      <c r="I14" s="65" t="s">
        <v>778</v>
      </c>
      <c r="J14" s="11">
        <v>0.73</v>
      </c>
      <c r="K14" s="207">
        <v>3</v>
      </c>
      <c r="M14" s="286" t="s">
        <v>648</v>
      </c>
      <c r="N14" s="145">
        <v>6.25</v>
      </c>
      <c r="O14" s="116">
        <v>40</v>
      </c>
      <c r="P14" s="264">
        <f t="shared" si="1"/>
        <v>18.75</v>
      </c>
      <c r="Q14" s="208">
        <f t="shared" si="1"/>
        <v>120</v>
      </c>
      <c r="S14" s="286"/>
      <c r="T14" s="145"/>
      <c r="U14" s="116"/>
      <c r="V14" s="264">
        <f t="shared" si="2"/>
        <v>0</v>
      </c>
      <c r="W14" s="208">
        <f t="shared" si="2"/>
        <v>0</v>
      </c>
    </row>
    <row r="15" spans="1:23" x14ac:dyDescent="0.2">
      <c r="A15" s="65" t="s">
        <v>819</v>
      </c>
      <c r="B15" s="11">
        <v>13.38</v>
      </c>
      <c r="C15" s="207">
        <v>30</v>
      </c>
      <c r="E15" s="65" t="s">
        <v>632</v>
      </c>
      <c r="F15" s="11">
        <v>3.9</v>
      </c>
      <c r="G15" s="207">
        <v>17</v>
      </c>
      <c r="H15" s="5"/>
      <c r="I15" s="65" t="s">
        <v>811</v>
      </c>
      <c r="J15" s="11">
        <v>0.75</v>
      </c>
      <c r="K15" s="207">
        <v>5</v>
      </c>
    </row>
    <row r="16" spans="1:23" x14ac:dyDescent="0.2">
      <c r="A16" s="65" t="s">
        <v>818</v>
      </c>
      <c r="B16" s="11">
        <v>13.5</v>
      </c>
      <c r="C16" s="207">
        <v>60</v>
      </c>
      <c r="E16" s="65" t="s">
        <v>863</v>
      </c>
      <c r="F16" s="11">
        <v>4</v>
      </c>
      <c r="G16" s="207">
        <v>3</v>
      </c>
      <c r="H16" s="5"/>
      <c r="I16" s="65" t="s">
        <v>646</v>
      </c>
      <c r="J16" s="11">
        <v>0.83</v>
      </c>
      <c r="K16" s="207">
        <v>5</v>
      </c>
      <c r="M16" s="214" t="s">
        <v>720</v>
      </c>
      <c r="N16" s="270" t="s">
        <v>238</v>
      </c>
      <c r="O16" s="271" t="s">
        <v>2</v>
      </c>
      <c r="Q16" s="398" t="s">
        <v>710</v>
      </c>
      <c r="R16" s="399"/>
      <c r="S16" s="280" t="s">
        <v>238</v>
      </c>
      <c r="T16" s="272" t="s">
        <v>2</v>
      </c>
      <c r="V16" s="409" t="s">
        <v>709</v>
      </c>
      <c r="W16" s="410"/>
    </row>
    <row r="17" spans="1:23" x14ac:dyDescent="0.2">
      <c r="A17" s="65" t="s">
        <v>796</v>
      </c>
      <c r="B17" s="11">
        <v>13.66</v>
      </c>
      <c r="C17" s="207">
        <v>100</v>
      </c>
      <c r="E17" s="65" t="s">
        <v>760</v>
      </c>
      <c r="F17" s="11">
        <v>4.04</v>
      </c>
      <c r="G17" s="207">
        <v>15</v>
      </c>
      <c r="H17" s="5"/>
      <c r="I17" s="65" t="s">
        <v>722</v>
      </c>
      <c r="J17" s="11">
        <v>0.85</v>
      </c>
      <c r="K17" s="207">
        <v>65</v>
      </c>
      <c r="M17" s="65" t="s">
        <v>783</v>
      </c>
      <c r="N17" s="11">
        <v>7.0000000000000007E-2</v>
      </c>
      <c r="O17" s="207">
        <v>0</v>
      </c>
      <c r="Q17" s="400" t="s">
        <v>711</v>
      </c>
      <c r="R17" s="401"/>
      <c r="S17" s="11">
        <v>4.8</v>
      </c>
      <c r="T17" s="207">
        <v>135</v>
      </c>
      <c r="V17" s="290" t="s">
        <v>238</v>
      </c>
      <c r="W17" s="291" t="s">
        <v>2</v>
      </c>
    </row>
    <row r="18" spans="1:23" x14ac:dyDescent="0.2">
      <c r="A18" s="65" t="s">
        <v>772</v>
      </c>
      <c r="B18" s="11">
        <v>14.36</v>
      </c>
      <c r="C18" s="207">
        <v>343</v>
      </c>
      <c r="E18" s="65" t="s">
        <v>757</v>
      </c>
      <c r="F18" s="11">
        <v>4.04</v>
      </c>
      <c r="G18" s="207">
        <v>140</v>
      </c>
      <c r="H18" s="5"/>
      <c r="I18" s="65" t="s">
        <v>887</v>
      </c>
      <c r="J18" s="11">
        <v>0.86</v>
      </c>
      <c r="K18" s="207">
        <v>5</v>
      </c>
      <c r="M18" s="65" t="s">
        <v>557</v>
      </c>
      <c r="N18" s="11">
        <v>0.15</v>
      </c>
      <c r="O18" s="207">
        <v>0</v>
      </c>
      <c r="Q18" s="400" t="s">
        <v>721</v>
      </c>
      <c r="R18" s="401"/>
      <c r="S18" s="11">
        <v>7.7</v>
      </c>
      <c r="T18" s="207">
        <v>210</v>
      </c>
      <c r="V18" s="131">
        <v>25</v>
      </c>
      <c r="W18" s="207">
        <v>55</v>
      </c>
    </row>
    <row r="19" spans="1:23" x14ac:dyDescent="0.2">
      <c r="A19" s="65" t="s">
        <v>729</v>
      </c>
      <c r="B19" s="11">
        <v>14.4</v>
      </c>
      <c r="C19" s="207">
        <v>200</v>
      </c>
      <c r="E19" s="65" t="s">
        <v>634</v>
      </c>
      <c r="F19" s="11">
        <v>4.2</v>
      </c>
      <c r="G19" s="207">
        <v>100</v>
      </c>
      <c r="H19" s="5"/>
      <c r="I19" s="65" t="s">
        <v>675</v>
      </c>
      <c r="J19" s="11">
        <v>0.92</v>
      </c>
      <c r="K19" s="207">
        <v>27</v>
      </c>
      <c r="M19" s="65" t="s">
        <v>635</v>
      </c>
      <c r="N19" s="11">
        <v>0.22</v>
      </c>
      <c r="O19" s="207">
        <v>0</v>
      </c>
      <c r="Q19" s="400" t="s">
        <v>712</v>
      </c>
      <c r="R19" s="401"/>
      <c r="S19" s="11">
        <v>10.9</v>
      </c>
      <c r="T19" s="207">
        <v>240</v>
      </c>
      <c r="V19" s="131"/>
      <c r="W19" s="207">
        <v>125</v>
      </c>
    </row>
    <row r="20" spans="1:23" x14ac:dyDescent="0.2">
      <c r="A20" s="65" t="s">
        <v>669</v>
      </c>
      <c r="B20" s="11">
        <v>14.5</v>
      </c>
      <c r="C20" s="207">
        <v>130</v>
      </c>
      <c r="E20" s="65" t="s">
        <v>867</v>
      </c>
      <c r="F20" s="11">
        <v>4.2699999999999996</v>
      </c>
      <c r="G20" s="207">
        <v>100</v>
      </c>
      <c r="H20" s="5"/>
      <c r="I20" s="65" t="s">
        <v>504</v>
      </c>
      <c r="J20" s="11">
        <v>0.93</v>
      </c>
      <c r="K20" s="207">
        <v>20</v>
      </c>
      <c r="M20" s="65" t="s">
        <v>645</v>
      </c>
      <c r="N20" s="11">
        <v>0.22</v>
      </c>
      <c r="O20" s="207">
        <v>5</v>
      </c>
      <c r="Q20" s="400" t="s">
        <v>713</v>
      </c>
      <c r="R20" s="401"/>
      <c r="S20" s="11">
        <v>13.5</v>
      </c>
      <c r="T20" s="207">
        <v>310</v>
      </c>
      <c r="V20" s="131"/>
      <c r="W20" s="207"/>
    </row>
    <row r="21" spans="1:23" x14ac:dyDescent="0.2">
      <c r="A21" s="65" t="s">
        <v>825</v>
      </c>
      <c r="B21" s="11">
        <v>14.6</v>
      </c>
      <c r="C21" s="207">
        <v>115</v>
      </c>
      <c r="E21" s="65" t="s">
        <v>715</v>
      </c>
      <c r="F21" s="11">
        <v>4.5</v>
      </c>
      <c r="G21" s="207">
        <v>30</v>
      </c>
      <c r="H21" s="5"/>
      <c r="I21" s="65" t="s">
        <v>799</v>
      </c>
      <c r="J21" s="11">
        <v>1</v>
      </c>
      <c r="K21" s="207">
        <v>0</v>
      </c>
      <c r="M21" s="65" t="s">
        <v>548</v>
      </c>
      <c r="N21" s="11">
        <v>0.23</v>
      </c>
      <c r="O21" s="207">
        <v>0</v>
      </c>
      <c r="Q21" s="396" t="s">
        <v>105</v>
      </c>
      <c r="R21" s="397"/>
      <c r="S21" s="145">
        <v>14.8</v>
      </c>
      <c r="T21" s="208">
        <v>330</v>
      </c>
      <c r="V21" s="131"/>
      <c r="W21" s="207"/>
    </row>
    <row r="22" spans="1:23" x14ac:dyDescent="0.2">
      <c r="A22" s="65" t="s">
        <v>751</v>
      </c>
      <c r="B22" s="11">
        <v>14.7</v>
      </c>
      <c r="C22" s="207">
        <v>70</v>
      </c>
      <c r="E22" s="65" t="s">
        <v>897</v>
      </c>
      <c r="F22" s="11">
        <v>4.5</v>
      </c>
      <c r="G22" s="207">
        <v>70</v>
      </c>
      <c r="H22" s="5"/>
      <c r="I22" s="65" t="s">
        <v>800</v>
      </c>
      <c r="J22" s="11">
        <v>1</v>
      </c>
      <c r="K22" s="207">
        <v>15</v>
      </c>
      <c r="M22" s="65" t="s">
        <v>659</v>
      </c>
      <c r="N22" s="11">
        <v>0.23</v>
      </c>
      <c r="O22" s="207">
        <v>0</v>
      </c>
      <c r="V22" s="131"/>
      <c r="W22" s="207"/>
    </row>
    <row r="23" spans="1:23" x14ac:dyDescent="0.2">
      <c r="A23" s="65" t="s">
        <v>538</v>
      </c>
      <c r="B23" s="11">
        <v>14.8</v>
      </c>
      <c r="C23" s="207">
        <v>330</v>
      </c>
      <c r="E23" s="65" t="s">
        <v>868</v>
      </c>
      <c r="F23" s="11">
        <v>4.78</v>
      </c>
      <c r="G23" s="207">
        <v>200</v>
      </c>
      <c r="H23" s="5"/>
      <c r="I23" s="65" t="s">
        <v>837</v>
      </c>
      <c r="J23" s="11">
        <v>1.1000000000000001</v>
      </c>
      <c r="K23" s="207">
        <v>17</v>
      </c>
      <c r="M23" s="65" t="s">
        <v>896</v>
      </c>
      <c r="N23" s="11">
        <v>0.3</v>
      </c>
      <c r="O23" s="207">
        <v>0</v>
      </c>
      <c r="Q23" s="398" t="s">
        <v>734</v>
      </c>
      <c r="R23" s="399"/>
      <c r="S23" s="280" t="s">
        <v>238</v>
      </c>
      <c r="T23" s="272" t="s">
        <v>2</v>
      </c>
      <c r="V23" s="131"/>
      <c r="W23" s="207"/>
    </row>
    <row r="24" spans="1:23" x14ac:dyDescent="0.2">
      <c r="A24" s="65" t="s">
        <v>624</v>
      </c>
      <c r="B24" s="11">
        <v>14.86</v>
      </c>
      <c r="C24" s="207">
        <v>245</v>
      </c>
      <c r="E24" s="65" t="s">
        <v>667</v>
      </c>
      <c r="F24" s="11">
        <v>5</v>
      </c>
      <c r="G24" s="207">
        <v>2</v>
      </c>
      <c r="H24" s="5"/>
      <c r="I24" s="65" t="s">
        <v>676</v>
      </c>
      <c r="J24" s="11">
        <v>1.2</v>
      </c>
      <c r="K24" s="207">
        <v>20</v>
      </c>
      <c r="M24" s="65" t="s">
        <v>895</v>
      </c>
      <c r="N24" s="11">
        <v>0.3</v>
      </c>
      <c r="O24" s="207">
        <v>1</v>
      </c>
      <c r="Q24" s="400" t="s">
        <v>860</v>
      </c>
      <c r="R24" s="401"/>
      <c r="S24" s="11">
        <v>15.63</v>
      </c>
      <c r="T24" s="207">
        <v>165</v>
      </c>
      <c r="V24" s="131"/>
      <c r="W24" s="207"/>
    </row>
    <row r="25" spans="1:23" x14ac:dyDescent="0.2">
      <c r="A25" s="65" t="s">
        <v>622</v>
      </c>
      <c r="B25" s="11">
        <v>15.2</v>
      </c>
      <c r="C25" s="207">
        <v>215</v>
      </c>
      <c r="E25" s="65" t="s">
        <v>879</v>
      </c>
      <c r="F25" s="11">
        <v>5</v>
      </c>
      <c r="G25" s="207">
        <v>50</v>
      </c>
      <c r="H25" s="5"/>
      <c r="I25" s="65" t="s">
        <v>677</v>
      </c>
      <c r="J25" s="11">
        <v>1.25</v>
      </c>
      <c r="K25" s="207">
        <v>20</v>
      </c>
      <c r="M25" s="65" t="s">
        <v>894</v>
      </c>
      <c r="N25" s="11">
        <v>0.3</v>
      </c>
      <c r="O25" s="207">
        <v>4</v>
      </c>
      <c r="Q25" s="400" t="s">
        <v>859</v>
      </c>
      <c r="R25" s="401"/>
      <c r="S25" s="11">
        <v>13.84</v>
      </c>
      <c r="T25" s="207">
        <v>110</v>
      </c>
      <c r="V25" s="131"/>
      <c r="W25" s="207"/>
    </row>
    <row r="26" spans="1:23" x14ac:dyDescent="0.2">
      <c r="A26" s="65" t="s">
        <v>534</v>
      </c>
      <c r="B26" s="11">
        <v>15.8</v>
      </c>
      <c r="C26" s="207">
        <v>250</v>
      </c>
      <c r="E26" s="65" t="s">
        <v>869</v>
      </c>
      <c r="F26" s="11">
        <v>5</v>
      </c>
      <c r="G26" s="207">
        <v>54</v>
      </c>
      <c r="H26" s="5"/>
      <c r="I26" s="65" t="s">
        <v>786</v>
      </c>
      <c r="J26" s="11">
        <v>1.3</v>
      </c>
      <c r="K26" s="207">
        <v>0</v>
      </c>
      <c r="M26" s="65" t="s">
        <v>782</v>
      </c>
      <c r="N26" s="11">
        <v>0.31</v>
      </c>
      <c r="O26" s="207">
        <v>130</v>
      </c>
      <c r="Q26" s="400"/>
      <c r="R26" s="401"/>
      <c r="S26" s="11"/>
      <c r="T26" s="207"/>
      <c r="V26" s="131"/>
      <c r="W26" s="207"/>
    </row>
    <row r="27" spans="1:23" x14ac:dyDescent="0.2">
      <c r="A27" s="65" t="s">
        <v>840</v>
      </c>
      <c r="B27" s="11">
        <v>15.899999999999999</v>
      </c>
      <c r="C27" s="207">
        <v>195</v>
      </c>
      <c r="E27" s="65" t="s">
        <v>668</v>
      </c>
      <c r="F27" s="11">
        <v>5</v>
      </c>
      <c r="G27" s="207">
        <v>160</v>
      </c>
      <c r="H27" s="5"/>
      <c r="I27" s="65" t="s">
        <v>678</v>
      </c>
      <c r="J27" s="11">
        <v>1.3</v>
      </c>
      <c r="K27" s="207">
        <v>7</v>
      </c>
      <c r="M27" s="65" t="s">
        <v>500</v>
      </c>
      <c r="N27" s="11">
        <v>0.37</v>
      </c>
      <c r="O27" s="207">
        <v>10</v>
      </c>
      <c r="Q27" s="400"/>
      <c r="R27" s="401"/>
      <c r="S27" s="11"/>
      <c r="T27" s="207"/>
      <c r="V27" s="131"/>
      <c r="W27" s="207"/>
    </row>
    <row r="28" spans="1:23" x14ac:dyDescent="0.2">
      <c r="A28" s="65" t="s">
        <v>771</v>
      </c>
      <c r="B28" s="11">
        <v>16.100000000000001</v>
      </c>
      <c r="C28" s="207">
        <v>160</v>
      </c>
      <c r="E28" s="65" t="s">
        <v>870</v>
      </c>
      <c r="F28" s="11">
        <v>5.13</v>
      </c>
      <c r="G28" s="207">
        <v>130</v>
      </c>
      <c r="H28" s="5"/>
      <c r="I28" s="65" t="s">
        <v>802</v>
      </c>
      <c r="J28" s="11">
        <v>1.4</v>
      </c>
      <c r="K28" s="207">
        <v>5</v>
      </c>
      <c r="M28" s="65" t="s">
        <v>660</v>
      </c>
      <c r="N28" s="11">
        <v>0.4</v>
      </c>
      <c r="O28" s="207">
        <v>0</v>
      </c>
      <c r="Q28" s="396"/>
      <c r="R28" s="397"/>
      <c r="S28" s="145"/>
      <c r="T28" s="208"/>
      <c r="V28" s="131"/>
      <c r="W28" s="207"/>
    </row>
    <row r="29" spans="1:23" x14ac:dyDescent="0.2">
      <c r="A29" s="65" t="s">
        <v>556</v>
      </c>
      <c r="B29" s="11">
        <v>17.7</v>
      </c>
      <c r="C29" s="207">
        <v>345</v>
      </c>
      <c r="E29" s="65" t="s">
        <v>701</v>
      </c>
      <c r="F29" s="11">
        <v>5.15</v>
      </c>
      <c r="G29" s="207">
        <v>25</v>
      </c>
      <c r="H29" s="5"/>
      <c r="I29" s="65" t="s">
        <v>831</v>
      </c>
      <c r="J29" s="11">
        <v>1.4</v>
      </c>
      <c r="K29" s="207">
        <v>28</v>
      </c>
      <c r="M29" s="65" t="s">
        <v>891</v>
      </c>
      <c r="N29" s="11">
        <v>0.41</v>
      </c>
      <c r="O29" s="207">
        <v>5</v>
      </c>
      <c r="V29" s="131"/>
      <c r="W29" s="207"/>
    </row>
    <row r="30" spans="1:23" x14ac:dyDescent="0.2">
      <c r="A30" s="65" t="s">
        <v>666</v>
      </c>
      <c r="B30" s="11">
        <v>19.66</v>
      </c>
      <c r="C30" s="207">
        <v>23</v>
      </c>
      <c r="E30" s="65" t="s">
        <v>871</v>
      </c>
      <c r="F30" s="11">
        <v>5.4</v>
      </c>
      <c r="G30" s="207">
        <v>165</v>
      </c>
      <c r="H30" s="5"/>
      <c r="I30" s="65" t="s">
        <v>809</v>
      </c>
      <c r="J30" s="11">
        <v>1.45</v>
      </c>
      <c r="K30" s="207">
        <v>15</v>
      </c>
      <c r="M30" s="65" t="s">
        <v>890</v>
      </c>
      <c r="N30" s="11">
        <v>0.41</v>
      </c>
      <c r="O30" s="207">
        <v>15</v>
      </c>
      <c r="Q30" s="398" t="s">
        <v>754</v>
      </c>
      <c r="R30" s="399"/>
      <c r="S30" s="280" t="s">
        <v>238</v>
      </c>
      <c r="T30" s="272" t="s">
        <v>2</v>
      </c>
      <c r="V30" s="131"/>
      <c r="W30" s="207"/>
    </row>
    <row r="31" spans="1:23" x14ac:dyDescent="0.2">
      <c r="A31" s="65" t="s">
        <v>544</v>
      </c>
      <c r="B31" s="11">
        <v>20</v>
      </c>
      <c r="C31" s="207">
        <v>120</v>
      </c>
      <c r="E31" s="65" t="s">
        <v>872</v>
      </c>
      <c r="F31" s="11">
        <v>5.5</v>
      </c>
      <c r="G31" s="207">
        <v>60</v>
      </c>
      <c r="H31" s="5"/>
      <c r="I31" s="65" t="s">
        <v>679</v>
      </c>
      <c r="J31" s="11">
        <v>1.47</v>
      </c>
      <c r="K31" s="207">
        <v>26</v>
      </c>
      <c r="M31" s="65" t="s">
        <v>893</v>
      </c>
      <c r="N31" s="11">
        <v>0.43</v>
      </c>
      <c r="O31" s="207">
        <v>0</v>
      </c>
      <c r="Q31" s="400" t="s">
        <v>755</v>
      </c>
      <c r="R31" s="401"/>
      <c r="S31" s="11">
        <v>72.099999999999994</v>
      </c>
      <c r="T31" s="207"/>
      <c r="V31" s="131"/>
      <c r="W31" s="207"/>
    </row>
    <row r="32" spans="1:23" x14ac:dyDescent="0.2">
      <c r="A32" s="65" t="s">
        <v>858</v>
      </c>
      <c r="B32" s="11">
        <v>21.3</v>
      </c>
      <c r="C32" s="207">
        <v>150</v>
      </c>
      <c r="E32" s="65" t="s">
        <v>878</v>
      </c>
      <c r="F32" s="11">
        <v>6</v>
      </c>
      <c r="G32" s="207">
        <v>175</v>
      </c>
      <c r="H32" s="5"/>
      <c r="I32" s="65" t="s">
        <v>732</v>
      </c>
      <c r="J32" s="11">
        <v>1.5</v>
      </c>
      <c r="K32" s="207">
        <v>20</v>
      </c>
      <c r="M32" s="65" t="s">
        <v>892</v>
      </c>
      <c r="N32" s="11">
        <v>0.43</v>
      </c>
      <c r="O32" s="207">
        <v>1</v>
      </c>
      <c r="Q32" s="400" t="s">
        <v>761</v>
      </c>
      <c r="R32" s="401"/>
      <c r="S32" s="11"/>
      <c r="T32" s="207"/>
      <c r="V32" s="132"/>
      <c r="W32" s="208"/>
    </row>
    <row r="33" spans="1:23" x14ac:dyDescent="0.2">
      <c r="A33" s="65" t="s">
        <v>649</v>
      </c>
      <c r="B33" s="11">
        <v>22.9</v>
      </c>
      <c r="C33" s="207">
        <v>153</v>
      </c>
      <c r="E33" s="65" t="s">
        <v>877</v>
      </c>
      <c r="F33" s="11">
        <v>6.1000000000000005</v>
      </c>
      <c r="G33" s="207">
        <v>105</v>
      </c>
      <c r="H33" s="5"/>
      <c r="I33" s="65" t="s">
        <v>680</v>
      </c>
      <c r="J33" s="11">
        <v>1.5</v>
      </c>
      <c r="K33" s="207">
        <v>30</v>
      </c>
      <c r="M33" s="65" t="s">
        <v>798</v>
      </c>
      <c r="N33" s="11">
        <v>0.48</v>
      </c>
      <c r="O33" s="207">
        <v>5</v>
      </c>
      <c r="Q33" s="396" t="s">
        <v>855</v>
      </c>
      <c r="R33" s="397"/>
      <c r="S33" s="145">
        <v>50.1</v>
      </c>
      <c r="T33" s="208"/>
      <c r="V33" s="231">
        <f>SUM(V18:V32)</f>
        <v>25</v>
      </c>
      <c r="W33" s="255">
        <f>SUM(W18:W32)</f>
        <v>180</v>
      </c>
    </row>
    <row r="34" spans="1:23" x14ac:dyDescent="0.2">
      <c r="A34" s="65" t="s">
        <v>671</v>
      </c>
      <c r="B34" s="11">
        <v>23.04</v>
      </c>
      <c r="C34" s="207">
        <v>390</v>
      </c>
      <c r="E34" s="65" t="s">
        <v>873</v>
      </c>
      <c r="F34" s="11">
        <v>6.4</v>
      </c>
      <c r="G34" s="207">
        <v>85</v>
      </c>
      <c r="H34" s="5"/>
      <c r="I34" s="65" t="s">
        <v>828</v>
      </c>
      <c r="J34" s="11">
        <v>1.8</v>
      </c>
      <c r="K34" s="207">
        <v>0</v>
      </c>
      <c r="M34" s="65" t="s">
        <v>718</v>
      </c>
      <c r="N34" s="11">
        <v>0.5</v>
      </c>
      <c r="O34" s="207">
        <v>0</v>
      </c>
    </row>
    <row r="35" spans="1:23" x14ac:dyDescent="0.2">
      <c r="A35" s="65" t="s">
        <v>726</v>
      </c>
      <c r="B35" s="11">
        <v>24.28</v>
      </c>
      <c r="C35" s="207">
        <v>355</v>
      </c>
      <c r="E35" s="65" t="s">
        <v>791</v>
      </c>
      <c r="F35" s="11">
        <v>7</v>
      </c>
      <c r="G35" s="207">
        <v>15</v>
      </c>
      <c r="H35" s="5"/>
      <c r="I35" s="65" t="s">
        <v>829</v>
      </c>
      <c r="J35" s="11">
        <v>1.9</v>
      </c>
      <c r="K35" s="207">
        <v>60</v>
      </c>
      <c r="M35" s="65" t="s">
        <v>661</v>
      </c>
      <c r="N35" s="11">
        <v>0.5</v>
      </c>
      <c r="O35" s="207">
        <v>0</v>
      </c>
      <c r="Q35" s="398" t="s">
        <v>784</v>
      </c>
      <c r="R35" s="399"/>
      <c r="S35" s="270" t="s">
        <v>238</v>
      </c>
      <c r="T35" s="271" t="s">
        <v>2</v>
      </c>
    </row>
    <row r="36" spans="1:23" x14ac:dyDescent="0.2">
      <c r="A36" s="65" t="s">
        <v>549</v>
      </c>
      <c r="B36" s="11">
        <v>29.7</v>
      </c>
      <c r="C36" s="207">
        <v>226</v>
      </c>
      <c r="E36" s="65" t="s">
        <v>886</v>
      </c>
      <c r="F36" s="11">
        <v>8.1</v>
      </c>
      <c r="G36" s="207">
        <v>30</v>
      </c>
      <c r="H36" s="5"/>
      <c r="I36" s="65" t="s">
        <v>502</v>
      </c>
      <c r="J36" s="11">
        <v>2</v>
      </c>
      <c r="K36" s="207">
        <v>2</v>
      </c>
      <c r="M36" s="65" t="s">
        <v>501</v>
      </c>
      <c r="N36" s="11">
        <v>0.5</v>
      </c>
      <c r="O36" s="207">
        <v>5</v>
      </c>
      <c r="Q36" s="402" t="s">
        <v>789</v>
      </c>
      <c r="R36" s="403"/>
      <c r="S36" s="11">
        <v>-3.9699999999999998</v>
      </c>
      <c r="T36" s="207">
        <v>-40</v>
      </c>
    </row>
    <row r="37" spans="1:23" x14ac:dyDescent="0.2">
      <c r="A37" s="65" t="s">
        <v>814</v>
      </c>
      <c r="B37" s="11">
        <v>32</v>
      </c>
      <c r="C37" s="207">
        <v>492</v>
      </c>
      <c r="E37" s="65" t="s">
        <v>704</v>
      </c>
      <c r="F37" s="11">
        <v>9.1</v>
      </c>
      <c r="G37" s="207">
        <v>250</v>
      </c>
      <c r="H37" s="5"/>
      <c r="I37" s="65" t="s">
        <v>765</v>
      </c>
      <c r="J37" s="11">
        <v>2.0499999999999998</v>
      </c>
      <c r="K37" s="207">
        <v>10</v>
      </c>
      <c r="M37" s="65" t="s">
        <v>702</v>
      </c>
      <c r="N37" s="11">
        <v>0.54</v>
      </c>
      <c r="O37" s="207">
        <v>15</v>
      </c>
      <c r="Q37" s="400" t="s">
        <v>785</v>
      </c>
      <c r="R37" s="401"/>
      <c r="S37" s="11">
        <v>-0.67</v>
      </c>
      <c r="T37" s="207">
        <v>-5</v>
      </c>
    </row>
    <row r="38" spans="1:23" x14ac:dyDescent="0.2">
      <c r="A38" s="65" t="s">
        <v>657</v>
      </c>
      <c r="B38" s="11">
        <v>33.5</v>
      </c>
      <c r="C38" s="207">
        <v>275</v>
      </c>
      <c r="E38" s="65" t="s">
        <v>874</v>
      </c>
      <c r="F38" s="11">
        <v>9.3000000000000007</v>
      </c>
      <c r="G38" s="207">
        <v>75</v>
      </c>
      <c r="H38" s="5"/>
      <c r="I38" s="65" t="s">
        <v>733</v>
      </c>
      <c r="J38" s="11">
        <v>2.1</v>
      </c>
      <c r="K38" s="207">
        <v>61</v>
      </c>
      <c r="M38" s="65"/>
      <c r="N38" s="11"/>
      <c r="O38" s="207"/>
      <c r="Q38" s="400" t="s">
        <v>795</v>
      </c>
      <c r="R38" s="401"/>
      <c r="S38" s="11">
        <v>-0.96</v>
      </c>
      <c r="T38" s="207">
        <v>-30</v>
      </c>
    </row>
    <row r="39" spans="1:23" x14ac:dyDescent="0.2">
      <c r="A39" s="65"/>
      <c r="B39" s="11"/>
      <c r="C39" s="207"/>
      <c r="E39" s="65" t="s">
        <v>875</v>
      </c>
      <c r="F39" s="11">
        <v>9.4</v>
      </c>
      <c r="G39" s="207">
        <v>200</v>
      </c>
      <c r="H39" s="5"/>
      <c r="I39" s="65" t="s">
        <v>830</v>
      </c>
      <c r="J39" s="11">
        <v>2.2000000000000002</v>
      </c>
      <c r="K39" s="207">
        <v>5</v>
      </c>
      <c r="M39" s="65"/>
      <c r="N39" s="11"/>
      <c r="O39" s="207"/>
      <c r="Q39" s="400" t="s">
        <v>804</v>
      </c>
      <c r="R39" s="401"/>
      <c r="S39" s="11">
        <v>-0.3</v>
      </c>
      <c r="T39" s="207">
        <v>0</v>
      </c>
    </row>
    <row r="40" spans="1:23" x14ac:dyDescent="0.2">
      <c r="A40" s="65"/>
      <c r="B40" s="11"/>
      <c r="C40" s="207"/>
      <c r="E40" s="65" t="s">
        <v>794</v>
      </c>
      <c r="F40" s="11">
        <v>9.65</v>
      </c>
      <c r="G40" s="207">
        <v>100</v>
      </c>
      <c r="H40" s="5"/>
      <c r="I40" s="65" t="s">
        <v>613</v>
      </c>
      <c r="J40" s="11">
        <v>2.2999999999999998</v>
      </c>
      <c r="K40" s="207">
        <v>10</v>
      </c>
      <c r="M40" s="65"/>
      <c r="N40" s="11"/>
      <c r="O40" s="207"/>
      <c r="Q40" s="400"/>
      <c r="R40" s="401"/>
      <c r="S40" s="11"/>
      <c r="T40" s="207"/>
    </row>
    <row r="41" spans="1:23" x14ac:dyDescent="0.2">
      <c r="A41" s="65"/>
      <c r="B41" s="11"/>
      <c r="C41" s="207"/>
      <c r="E41" s="65" t="s">
        <v>551</v>
      </c>
      <c r="F41" s="11">
        <v>10</v>
      </c>
      <c r="G41" s="207">
        <v>30</v>
      </c>
      <c r="H41" s="5"/>
      <c r="I41" s="65" t="s">
        <v>781</v>
      </c>
      <c r="J41" s="11">
        <v>2.4</v>
      </c>
      <c r="K41" s="207">
        <v>2</v>
      </c>
      <c r="M41" s="65"/>
      <c r="N41" s="11"/>
      <c r="O41" s="207"/>
      <c r="Q41" s="400"/>
      <c r="R41" s="401"/>
      <c r="S41" s="11"/>
      <c r="T41" s="207"/>
    </row>
    <row r="42" spans="1:23" x14ac:dyDescent="0.2">
      <c r="A42" s="65"/>
      <c r="B42" s="11"/>
      <c r="C42" s="207"/>
      <c r="E42" s="65" t="s">
        <v>911</v>
      </c>
      <c r="F42" s="11">
        <v>10.050000000000001</v>
      </c>
      <c r="G42" s="207">
        <v>115</v>
      </c>
      <c r="H42" s="5"/>
      <c r="I42" s="65" t="s">
        <v>787</v>
      </c>
      <c r="J42" s="11">
        <v>2.5</v>
      </c>
      <c r="K42" s="207">
        <v>66</v>
      </c>
      <c r="M42" s="65"/>
      <c r="N42" s="11"/>
      <c r="O42" s="207"/>
      <c r="Q42" s="322"/>
      <c r="R42" s="323"/>
      <c r="S42" s="11"/>
      <c r="T42" s="207"/>
    </row>
    <row r="43" spans="1:23" x14ac:dyDescent="0.2">
      <c r="A43" s="65"/>
      <c r="B43" s="11"/>
      <c r="C43" s="207"/>
      <c r="E43" s="65" t="s">
        <v>839</v>
      </c>
      <c r="F43" s="11">
        <v>10.199999999999999</v>
      </c>
      <c r="G43" s="207">
        <v>145</v>
      </c>
      <c r="H43" s="5"/>
      <c r="I43" s="65" t="s">
        <v>654</v>
      </c>
      <c r="J43" s="11">
        <v>2.6</v>
      </c>
      <c r="K43" s="207">
        <v>49</v>
      </c>
      <c r="M43" s="65"/>
      <c r="N43" s="11"/>
      <c r="O43" s="207"/>
      <c r="Q43" s="322"/>
      <c r="R43" s="323"/>
      <c r="S43" s="11"/>
      <c r="T43" s="207"/>
    </row>
    <row r="44" spans="1:23" x14ac:dyDescent="0.2">
      <c r="A44" s="65"/>
      <c r="B44" s="11"/>
      <c r="C44" s="207"/>
      <c r="E44" s="65" t="s">
        <v>607</v>
      </c>
      <c r="F44" s="11">
        <v>10.3</v>
      </c>
      <c r="G44" s="207">
        <v>100</v>
      </c>
      <c r="H44" s="5"/>
      <c r="I44" s="65" t="s">
        <v>888</v>
      </c>
      <c r="J44" s="11">
        <v>2.85</v>
      </c>
      <c r="K44" s="207">
        <v>70</v>
      </c>
      <c r="M44" s="65"/>
      <c r="N44" s="11"/>
      <c r="O44" s="207"/>
      <c r="Q44" s="322"/>
      <c r="R44" s="323"/>
      <c r="S44" s="11"/>
      <c r="T44" s="207"/>
    </row>
    <row r="45" spans="1:23" x14ac:dyDescent="0.2">
      <c r="A45" s="286"/>
      <c r="B45" s="145"/>
      <c r="C45" s="208"/>
      <c r="E45" s="65" t="s">
        <v>609</v>
      </c>
      <c r="F45" s="11">
        <v>10.62</v>
      </c>
      <c r="G45" s="207">
        <v>50</v>
      </c>
      <c r="H45" s="5"/>
      <c r="I45" s="65"/>
      <c r="J45" s="11"/>
      <c r="K45" s="207"/>
      <c r="M45" s="65"/>
      <c r="N45" s="11"/>
      <c r="O45" s="207"/>
      <c r="Q45" s="322"/>
      <c r="R45" s="323"/>
      <c r="S45" s="11"/>
      <c r="T45" s="207"/>
    </row>
    <row r="46" spans="1:23" x14ac:dyDescent="0.2">
      <c r="E46" s="65" t="s">
        <v>476</v>
      </c>
      <c r="F46" s="11">
        <v>10.65</v>
      </c>
      <c r="G46" s="207">
        <v>40</v>
      </c>
      <c r="I46" s="65"/>
      <c r="J46" s="11"/>
      <c r="K46" s="207"/>
      <c r="M46" s="65"/>
      <c r="N46" s="11"/>
      <c r="O46" s="207"/>
      <c r="Q46" s="322"/>
      <c r="R46" s="323"/>
      <c r="S46" s="11"/>
      <c r="T46" s="207"/>
    </row>
    <row r="47" spans="1:23" x14ac:dyDescent="0.2">
      <c r="A47" s="214" t="s">
        <v>665</v>
      </c>
      <c r="B47" s="280"/>
      <c r="C47" s="272"/>
      <c r="E47" s="65" t="s">
        <v>606</v>
      </c>
      <c r="F47" s="11">
        <v>10.66</v>
      </c>
      <c r="G47" s="207">
        <v>90</v>
      </c>
      <c r="I47" s="65"/>
      <c r="J47" s="11"/>
      <c r="K47" s="207"/>
      <c r="M47" s="65"/>
      <c r="N47" s="11"/>
      <c r="O47" s="207"/>
      <c r="Q47" s="400"/>
      <c r="R47" s="401"/>
      <c r="S47" s="11"/>
      <c r="T47" s="207"/>
    </row>
    <row r="48" spans="1:23" x14ac:dyDescent="0.2">
      <c r="A48" s="283" t="s">
        <v>664</v>
      </c>
      <c r="B48" s="116"/>
      <c r="C48" s="117"/>
      <c r="E48" s="286" t="s">
        <v>876</v>
      </c>
      <c r="F48" s="145">
        <v>10.8</v>
      </c>
      <c r="G48" s="208">
        <v>306</v>
      </c>
      <c r="I48" s="286"/>
      <c r="J48" s="145"/>
      <c r="K48" s="208"/>
      <c r="M48" s="286"/>
      <c r="N48" s="145"/>
      <c r="O48" s="208"/>
      <c r="Q48" s="396"/>
      <c r="R48" s="397"/>
      <c r="S48" s="145"/>
      <c r="T48" s="208"/>
    </row>
  </sheetData>
  <sortState xmlns:xlrd2="http://schemas.microsoft.com/office/spreadsheetml/2017/richdata2" ref="A8:C45">
    <sortCondition ref="B8:B45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0" customFormat="1" x14ac:dyDescent="0.2">
      <c r="A1" s="161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9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9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13"/>
  </cols>
  <sheetData>
    <row r="1" spans="1:7" s="155" customFormat="1" x14ac:dyDescent="0.2">
      <c r="A1" s="161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9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9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29"/>
      <c r="L35" s="57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7"/>
      <c r="I36" s="89"/>
      <c r="J36" s="276"/>
      <c r="K36" s="129"/>
      <c r="L36" s="155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6384" width="11.42578125" style="113"/>
  </cols>
  <sheetData>
    <row r="1" spans="1:8" s="155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9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9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393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393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91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91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393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393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6"/>
      <c r="I24" s="89"/>
      <c r="J24" s="89"/>
      <c r="K24" s="89"/>
      <c r="L24" s="89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89"/>
      <c r="J27" s="89"/>
      <c r="K27" s="89"/>
      <c r="L27" s="89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91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9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393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3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393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393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393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0" customFormat="1" x14ac:dyDescent="0.2">
      <c r="A1" s="161" t="s">
        <v>55</v>
      </c>
      <c r="B1" s="22" t="s">
        <v>0</v>
      </c>
      <c r="C1" s="192" t="s">
        <v>238</v>
      </c>
      <c r="D1" s="192" t="s">
        <v>929</v>
      </c>
      <c r="E1" s="305" t="s">
        <v>948</v>
      </c>
      <c r="F1" s="23" t="s">
        <v>2</v>
      </c>
      <c r="G1" s="23" t="s">
        <v>237</v>
      </c>
      <c r="H1" s="21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30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30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30">
        <f t="shared" si="0"/>
        <v>9.3333333333333324E-2</v>
      </c>
      <c r="F4" s="72">
        <v>330</v>
      </c>
      <c r="G4" s="12">
        <v>13.5</v>
      </c>
      <c r="H4" s="13">
        <v>455</v>
      </c>
      <c r="I4" s="19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30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30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30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06"/>
      <c r="D8" s="106"/>
      <c r="E8" s="331"/>
      <c r="F8" s="13"/>
      <c r="I8" s="6"/>
    </row>
    <row r="9" spans="1:9" x14ac:dyDescent="0.2">
      <c r="E9" s="332"/>
      <c r="F9" s="13"/>
    </row>
    <row r="10" spans="1:9" x14ac:dyDescent="0.2">
      <c r="E10" s="332"/>
    </row>
    <row r="11" spans="1:9" x14ac:dyDescent="0.2">
      <c r="C11" s="3"/>
      <c r="D11" s="3"/>
      <c r="E11" s="333"/>
      <c r="F11" s="5"/>
      <c r="G11" s="9"/>
      <c r="H11" s="13"/>
      <c r="I11" s="191"/>
    </row>
    <row r="12" spans="1:9" x14ac:dyDescent="0.2">
      <c r="E12" s="332"/>
    </row>
    <row r="13" spans="1:9" x14ac:dyDescent="0.2">
      <c r="C13" s="3"/>
      <c r="D13" s="3"/>
      <c r="E13" s="333"/>
      <c r="F13" s="8"/>
      <c r="H13" s="13"/>
      <c r="I13" s="191"/>
    </row>
    <row r="14" spans="1:9" x14ac:dyDescent="0.2">
      <c r="C14" s="3"/>
      <c r="D14" s="3"/>
      <c r="E14" s="333"/>
      <c r="F14" s="13"/>
      <c r="H14" s="13"/>
      <c r="I14" s="6"/>
    </row>
    <row r="15" spans="1:9" x14ac:dyDescent="0.2">
      <c r="C15" s="14"/>
      <c r="D15" s="14"/>
      <c r="E15" s="330"/>
      <c r="F15" s="13"/>
      <c r="G15" s="9"/>
      <c r="H15" s="13"/>
      <c r="I15" s="6"/>
    </row>
    <row r="16" spans="1:9" x14ac:dyDescent="0.2">
      <c r="E16" s="332"/>
      <c r="I16" s="113"/>
    </row>
    <row r="17" spans="3:9" x14ac:dyDescent="0.2">
      <c r="E17" s="332"/>
    </row>
    <row r="18" spans="3:9" x14ac:dyDescent="0.2">
      <c r="E18" s="332"/>
      <c r="F18" s="13"/>
      <c r="G18" s="9"/>
      <c r="H18" s="13"/>
      <c r="I18" s="6"/>
    </row>
    <row r="19" spans="3:9" x14ac:dyDescent="0.2">
      <c r="C19" s="14"/>
      <c r="D19" s="14"/>
      <c r="E19" s="330"/>
      <c r="F19" s="13"/>
    </row>
    <row r="20" spans="3:9" x14ac:dyDescent="0.2">
      <c r="E20" s="332"/>
    </row>
    <row r="21" spans="3:9" x14ac:dyDescent="0.2">
      <c r="E21" s="332"/>
    </row>
    <row r="22" spans="3:9" x14ac:dyDescent="0.2">
      <c r="C22" s="14"/>
      <c r="D22" s="14"/>
      <c r="E22" s="330"/>
      <c r="F22" s="13"/>
      <c r="G22" s="9"/>
      <c r="H22" s="13"/>
      <c r="I22" s="193"/>
    </row>
    <row r="23" spans="3:9" x14ac:dyDescent="0.2">
      <c r="C23" s="3"/>
      <c r="D23" s="3"/>
      <c r="E23" s="333"/>
      <c r="F23" s="13"/>
      <c r="G23" s="9"/>
      <c r="H23" s="13"/>
      <c r="I23" s="6"/>
    </row>
    <row r="24" spans="3:9" x14ac:dyDescent="0.2">
      <c r="C24" s="14"/>
      <c r="D24" s="14"/>
      <c r="E24" s="330"/>
      <c r="F24" s="8"/>
    </row>
    <row r="25" spans="3:9" x14ac:dyDescent="0.2">
      <c r="C25" s="14"/>
      <c r="D25" s="14"/>
      <c r="E25" s="330"/>
      <c r="F25" s="8"/>
    </row>
    <row r="26" spans="3:9" x14ac:dyDescent="0.2">
      <c r="C26" s="3"/>
      <c r="D26" s="3"/>
      <c r="E26" s="333"/>
      <c r="F26" s="13"/>
      <c r="G26" s="4"/>
      <c r="I26" s="6"/>
    </row>
    <row r="27" spans="3:9" x14ac:dyDescent="0.2">
      <c r="C27" s="14"/>
      <c r="D27" s="14"/>
      <c r="E27" s="330"/>
      <c r="F27" s="13"/>
      <c r="G27" s="9"/>
      <c r="H27" s="13"/>
      <c r="I27" s="6"/>
    </row>
    <row r="28" spans="3:9" x14ac:dyDescent="0.2">
      <c r="E28" s="332"/>
      <c r="F28" s="13"/>
    </row>
    <row r="29" spans="3:9" x14ac:dyDescent="0.2">
      <c r="C29" s="3"/>
      <c r="D29" s="3"/>
      <c r="E29" s="333"/>
      <c r="F29" s="13"/>
      <c r="G29" s="9"/>
      <c r="H29" s="13"/>
      <c r="I29" s="16"/>
    </row>
    <row r="30" spans="3:9" x14ac:dyDescent="0.2">
      <c r="C30" s="3"/>
      <c r="D30" s="3"/>
      <c r="E30" s="333"/>
      <c r="F30" s="8"/>
      <c r="G30" s="9"/>
      <c r="H30" s="13"/>
      <c r="I30" s="6"/>
    </row>
    <row r="31" spans="3:9" x14ac:dyDescent="0.2">
      <c r="C31" s="3"/>
      <c r="D31" s="3"/>
      <c r="E31" s="333"/>
      <c r="F31" s="13"/>
      <c r="G31" s="9"/>
      <c r="H31" s="13"/>
      <c r="I31" s="6"/>
    </row>
    <row r="32" spans="3:9" x14ac:dyDescent="0.2">
      <c r="E32" s="332"/>
      <c r="F32" s="8"/>
      <c r="G32" s="9"/>
      <c r="H32" s="13"/>
      <c r="I32" s="6"/>
    </row>
    <row r="33" spans="3:9" x14ac:dyDescent="0.2">
      <c r="C33" s="3"/>
      <c r="D33" s="3"/>
      <c r="E33" s="333"/>
      <c r="F33" s="13"/>
      <c r="G33" s="9"/>
      <c r="H33" s="13"/>
      <c r="I33" s="6"/>
    </row>
    <row r="34" spans="3:9" x14ac:dyDescent="0.2">
      <c r="C34" s="3"/>
      <c r="D34" s="3"/>
      <c r="E34" s="333"/>
      <c r="F34" s="8"/>
      <c r="G34" s="9"/>
      <c r="H34" s="13"/>
      <c r="I34" s="6"/>
    </row>
    <row r="35" spans="3:9" x14ac:dyDescent="0.2">
      <c r="C35" s="3"/>
      <c r="D35" s="3"/>
      <c r="E35" s="333"/>
      <c r="F35" s="13"/>
      <c r="H35" s="13"/>
      <c r="I35" s="6"/>
    </row>
    <row r="36" spans="3:9" x14ac:dyDescent="0.2">
      <c r="E36" s="332"/>
      <c r="F36" s="13"/>
      <c r="H36" s="13"/>
      <c r="I36" s="6"/>
    </row>
    <row r="37" spans="3:9" x14ac:dyDescent="0.2">
      <c r="C37" s="3"/>
      <c r="D37" s="3"/>
      <c r="E37" s="333"/>
      <c r="F37" s="13"/>
      <c r="H37" s="13"/>
    </row>
    <row r="38" spans="3:9" x14ac:dyDescent="0.2">
      <c r="C38" s="3"/>
      <c r="D38" s="3"/>
      <c r="E38" s="333"/>
      <c r="F38" s="13"/>
      <c r="G38" s="9"/>
      <c r="H38" s="13"/>
    </row>
    <row r="39" spans="3:9" x14ac:dyDescent="0.2">
      <c r="C39" s="3"/>
      <c r="D39" s="3"/>
      <c r="E39" s="333"/>
      <c r="F39" s="13"/>
      <c r="G39" s="4"/>
      <c r="H39" s="13"/>
    </row>
    <row r="40" spans="3:9" x14ac:dyDescent="0.2">
      <c r="E40" s="332"/>
      <c r="F40" s="13"/>
      <c r="G40" s="9"/>
    </row>
    <row r="41" spans="3:9" x14ac:dyDescent="0.2">
      <c r="E41" s="332"/>
      <c r="H41" s="13"/>
      <c r="I41" s="6"/>
    </row>
    <row r="42" spans="3:9" x14ac:dyDescent="0.2">
      <c r="E42" s="332"/>
    </row>
    <row r="43" spans="3:9" x14ac:dyDescent="0.2">
      <c r="E43" s="332"/>
    </row>
    <row r="44" spans="3:9" x14ac:dyDescent="0.2">
      <c r="E44" s="332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2023-02-11T15:46:55Z</dcterms:modified>
</cp:coreProperties>
</file>