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fansoft.site\"/>
    </mc:Choice>
  </mc:AlternateContent>
  <xr:revisionPtr revIDLastSave="0" documentId="13_ncr:1_{52D33166-F51C-46A7-9005-37D45DE74530}" xr6:coauthVersionLast="47" xr6:coauthVersionMax="47" xr10:uidLastSave="{00000000-0000-0000-0000-000000000000}"/>
  <bookViews>
    <workbookView xWindow="-120" yWindow="-120" windowWidth="29040" windowHeight="15840" tabRatio="844" xr2:uid="{00000000-000D-0000-FFFF-FFFF00000000}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stat" sheetId="13" r:id="rId20"/>
    <sheet name="08" sheetId="12" r:id="rId21"/>
    <sheet name="09" sheetId="17" r:id="rId22"/>
    <sheet name="10" sheetId="19" r:id="rId23"/>
    <sheet name="11" sheetId="23" r:id="rId24"/>
    <sheet name="12" sheetId="26" r:id="rId25"/>
    <sheet name="13" sheetId="27" r:id="rId26"/>
    <sheet name="14" sheetId="28" r:id="rId27"/>
    <sheet name="15" sheetId="30" r:id="rId28"/>
    <sheet name="16" sheetId="31" r:id="rId29"/>
    <sheet name="17" sheetId="33" r:id="rId30"/>
    <sheet name="18" sheetId="34" r:id="rId31"/>
    <sheet name="tmp" sheetId="24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5" l="1"/>
  <c r="E6" i="35"/>
  <c r="E3" i="35"/>
  <c r="E7" i="35"/>
  <c r="E4" i="35"/>
  <c r="E5" i="35"/>
  <c r="W5" i="24"/>
  <c r="O5" i="24"/>
  <c r="V5" i="24"/>
  <c r="N5" i="24"/>
  <c r="M5" i="24"/>
  <c r="K5" i="24"/>
  <c r="J5" i="24"/>
  <c r="H5" i="24"/>
  <c r="V32" i="13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P34" i="34"/>
  <c r="AN34" i="34"/>
  <c r="AM34" i="34"/>
  <c r="AL34" i="34"/>
  <c r="AJ34" i="34"/>
  <c r="AI34" i="34"/>
  <c r="AH34" i="34"/>
  <c r="AF34" i="34"/>
  <c r="AE34" i="34"/>
  <c r="AD34" i="34"/>
  <c r="AB34" i="34"/>
  <c r="AA34" i="34"/>
  <c r="Z34" i="34"/>
  <c r="X34" i="34"/>
  <c r="W34" i="34"/>
  <c r="V34" i="34"/>
  <c r="T34" i="34"/>
  <c r="S34" i="34"/>
  <c r="R34" i="34"/>
  <c r="P34" i="34"/>
  <c r="O34" i="34"/>
  <c r="N34" i="34"/>
  <c r="L34" i="34"/>
  <c r="K34" i="34"/>
  <c r="J34" i="34"/>
  <c r="H34" i="34"/>
  <c r="G34" i="34"/>
  <c r="F34" i="34"/>
  <c r="D34" i="34"/>
  <c r="C34" i="34"/>
  <c r="B34" i="34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O5" i="34" s="1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4" i="34"/>
  <c r="AK5" i="34" s="1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4" i="34"/>
  <c r="AG5" i="34" s="1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4" i="34"/>
  <c r="AC5" i="34" s="1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4" i="34"/>
  <c r="E5" i="34" s="1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T40" i="34" l="1"/>
  <c r="AJ40" i="34"/>
  <c r="AF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21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8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Q38" i="34" s="1"/>
  <c r="AP34" i="33"/>
  <c r="AP38" i="34" s="1"/>
  <c r="AN34" i="33"/>
  <c r="AM34" i="33"/>
  <c r="AM38" i="34" s="1"/>
  <c r="AL34" i="33"/>
  <c r="AL38" i="34" s="1"/>
  <c r="AJ34" i="33"/>
  <c r="AI34" i="33"/>
  <c r="AI38" i="34" s="1"/>
  <c r="AH34" i="33"/>
  <c r="AH38" i="34" s="1"/>
  <c r="AF34" i="33"/>
  <c r="AE34" i="33"/>
  <c r="AE38" i="34" s="1"/>
  <c r="AD34" i="33"/>
  <c r="AD38" i="34" s="1"/>
  <c r="AB34" i="33"/>
  <c r="AA34" i="33"/>
  <c r="AA38" i="34" s="1"/>
  <c r="Z34" i="33"/>
  <c r="Z38" i="34" s="1"/>
  <c r="X34" i="33"/>
  <c r="W34" i="33"/>
  <c r="W38" i="34" s="1"/>
  <c r="V34" i="33"/>
  <c r="V38" i="34" s="1"/>
  <c r="T34" i="33"/>
  <c r="S34" i="33"/>
  <c r="S38" i="34" s="1"/>
  <c r="R34" i="33"/>
  <c r="R38" i="34" s="1"/>
  <c r="P34" i="33"/>
  <c r="O34" i="33"/>
  <c r="O38" i="34" s="1"/>
  <c r="N34" i="33"/>
  <c r="N38" i="34" s="1"/>
  <c r="L34" i="33"/>
  <c r="K34" i="33"/>
  <c r="K38" i="34" s="1"/>
  <c r="J34" i="33"/>
  <c r="J38" i="34" s="1"/>
  <c r="H34" i="33"/>
  <c r="G34" i="33"/>
  <c r="G38" i="34" s="1"/>
  <c r="F34" i="33"/>
  <c r="F38" i="34" s="1"/>
  <c r="D34" i="33"/>
  <c r="C34" i="33"/>
  <c r="C38" i="34" s="1"/>
  <c r="B34" i="33"/>
  <c r="B38" i="34" s="1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AR1" i="33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AU1" i="33"/>
  <c r="B42" i="33"/>
  <c r="AT42" i="34"/>
  <c r="AP43" i="34"/>
  <c r="B1" i="33"/>
  <c r="AT43" i="34" s="1"/>
  <c r="E1" i="33"/>
  <c r="M20" i="29"/>
  <c r="C43" i="33" l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U5" i="24" l="1"/>
  <c r="D5" i="24"/>
  <c r="E5" i="24"/>
  <c r="F5" i="24"/>
  <c r="G5" i="24"/>
  <c r="I5" i="24"/>
  <c r="L5" i="24"/>
  <c r="P5" i="24"/>
  <c r="Q5" i="24"/>
  <c r="R5" i="24"/>
  <c r="S5" i="24"/>
  <c r="T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Y5" i="28" s="1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27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G11" i="10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O5" i="26" s="1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20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G28" i="10" l="1"/>
  <c r="H76" i="5" l="1"/>
  <c r="G76" i="5"/>
  <c r="F76" i="5"/>
  <c r="E76" i="5"/>
  <c r="D76" i="5"/>
  <c r="C76" i="5"/>
  <c r="B76" i="5"/>
  <c r="M23" i="22" l="1"/>
  <c r="G9" i="10" l="1"/>
  <c r="G14" i="10" l="1"/>
  <c r="G22" i="10" l="1"/>
  <c r="G18" i="10"/>
  <c r="O5" i="1" l="1"/>
  <c r="I5" i="1"/>
  <c r="I8" i="11" l="1"/>
  <c r="G29" i="10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19" i="10"/>
  <c r="G26" i="10" l="1"/>
  <c r="G31" i="10"/>
  <c r="G16" i="10" l="1"/>
  <c r="G24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O5" i="23" s="1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G3" i="10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G5" i="10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30" i="10"/>
  <c r="G4" i="10"/>
  <c r="G32" i="10"/>
  <c r="G7" i="10"/>
  <c r="G10" i="10"/>
  <c r="G12" i="10"/>
  <c r="G13" i="10"/>
  <c r="G15" i="10"/>
  <c r="G17" i="10"/>
  <c r="G23" i="10"/>
  <c r="G25" i="10"/>
  <c r="G33" i="10"/>
  <c r="G34" i="10"/>
  <c r="G35" i="10"/>
  <c r="G36" i="10"/>
  <c r="G6" i="10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E35" i="12" s="1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AC40" i="12"/>
  <c r="R6" i="13" s="1"/>
  <c r="D38" i="17"/>
  <c r="G43" i="19"/>
  <c r="AU43" i="23"/>
  <c r="Z39" i="12"/>
  <c r="G38" i="17"/>
  <c r="H36" i="12"/>
  <c r="K38" i="17"/>
  <c r="AR1" i="17"/>
  <c r="R7" i="13" s="1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S8" i="13" s="1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AE1" i="12"/>
  <c r="R5" i="13" s="1"/>
  <c r="C18" i="13"/>
  <c r="D18" i="13" s="1"/>
  <c r="E18" i="13" s="1"/>
  <c r="F18" i="13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1" i="13" l="1"/>
  <c r="R4" i="13"/>
  <c r="S13" i="13"/>
  <c r="S6" i="13"/>
  <c r="S7" i="13"/>
  <c r="F33" i="13"/>
  <c r="R8" i="13"/>
  <c r="S12" i="13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O5" i="13" l="1"/>
  <c r="S5" i="13"/>
  <c r="O18" i="13" s="1"/>
  <c r="S4" i="13"/>
  <c r="N5" i="13"/>
  <c r="G34" i="13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 shapeId="0" xr:uid="{00000000-0006-0000-0000-000003000000}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 shapeId="0" xr:uid="{00000000-0006-0000-0000-000005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 shapeId="0" xr:uid="{00000000-0006-0000-0000-000008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0000-000009000000}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 shapeId="0" xr:uid="{00000000-0006-0000-0000-00000A000000}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 shapeId="0" xr:uid="{00000000-0006-0000-0000-00000C000000}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 shapeId="0" xr:uid="{00000000-0006-0000-0000-000010000000}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 shapeId="0" xr:uid="{00000000-0006-0000-0000-000018000000}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 shapeId="0" xr:uid="{00000000-0006-0000-0000-00001B000000}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 shapeId="0" xr:uid="{00000000-0006-0000-0000-00001C000000}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 shapeId="0" xr:uid="{00000000-0006-0000-0000-000021000000}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 shapeId="0" xr:uid="{00000000-0006-0000-0000-000023000000}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 shapeId="0" xr:uid="{00000000-0006-0000-0000-000024000000}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 shapeId="0" xr:uid="{00000000-0006-0000-0000-000028000000}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 shapeId="0" xr:uid="{00000000-0006-0000-0000-00002D000000}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 shapeId="0" xr:uid="{00000000-0006-0000-0000-00002E000000}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 shapeId="0" xr:uid="{00000000-0006-0000-0000-000030000000}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 shapeId="0" xr:uid="{00000000-0006-0000-0000-000031000000}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 shapeId="0" xr:uid="{00000000-0006-0000-0000-000035000000}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 shapeId="0" xr:uid="{00000000-0006-0000-0000-000037000000}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 shapeId="0" xr:uid="{00000000-0006-0000-0000-00003B000000}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 shapeId="0" xr:uid="{00000000-0006-0000-0000-00003D000000}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F1" authorId="0" shapeId="0" xr:uid="{00000000-0006-0000-0900-000001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Theoretisch erreichte Höhe ab Starthöhe 130</t>
        </r>
      </text>
    </comment>
    <comment ref="H1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 shapeId="0" xr:uid="{00000000-0006-0000-0900-000004000000}">
      <text>
        <r>
          <rPr>
            <sz val="9"/>
            <color indexed="81"/>
            <rFont val="Tahoma"/>
            <charset val="1"/>
          </rPr>
          <t>Samstag 2013-07-13, 10:00 - 14:50, 1 * Verpflegung, 2 * Springerquelle, 4 * 0.75ℓ, 20 - 25 °C, Beste Bedingungen</t>
        </r>
      </text>
    </comment>
    <comment ref="A3" authorId="1" shapeId="0" xr:uid="{00000000-0006-0000-0900-000005000000}">
      <text>
        <r>
          <rPr>
            <sz val="9"/>
            <color indexed="81"/>
            <rFont val="Tahoma"/>
            <charset val="1"/>
          </rPr>
          <t>Sonntag 2010-07-25; Start 6:50 à 10 °C; Ende 11:10 à 20 °C; 4:20 Brutto; 1 * 10 Min Pause</t>
        </r>
      </text>
    </comment>
    <comment ref="A4" authorId="1" shapeId="0" xr:uid="{00000000-0006-0000-0900-000006000000}">
      <text>
        <r>
          <rPr>
            <sz val="9"/>
            <color indexed="81"/>
            <rFont val="Tahoma"/>
            <charset val="1"/>
          </rPr>
          <t>Samstag 2009-09-26; Start 9:00 à 8 °C; Ende 13:00 à 20 °C; 4:00 Brutto; 2 * 15 Min Pause</t>
        </r>
      </text>
    </comment>
    <comment ref="A8" authorId="2" shapeId="0" xr:uid="{00000000-0006-0000-0900-000007000000}">
      <text>
        <r>
          <rPr>
            <sz val="8"/>
            <color indexed="81"/>
            <rFont val="Tahoma"/>
            <family val="2"/>
          </rPr>
          <t>Samstag 2017-05-27 8:50 - 11:50, 14 - 20 °C, Sonnig, Lang-Kurz, 1.5 ℓ, 1 Riegel</t>
        </r>
      </text>
    </comment>
    <comment ref="A20" authorId="2" shapeId="0" xr:uid="{7E04F38F-2D03-4906-BA44-D19671A749FB}">
      <text>
        <r>
          <rPr>
            <b/>
            <sz val="9"/>
            <color indexed="81"/>
            <rFont val="Segoe UI"/>
            <charset val="1"/>
          </rPr>
          <t xml:space="preserve">Runde ca. 5,7 km; 70 Hm; 15 Min (In/Out: 2,56 km)
</t>
        </r>
        <r>
          <rPr>
            <sz val="9"/>
            <color indexed="81"/>
            <rFont val="Segoe UI"/>
            <family val="2"/>
          </rPr>
          <t>1R: 8,26 km; 70 Hm
2R: 13,96 km; 140 Hm
3R: 19,66 km; 210 Hm
4R: 25,36 km; 280 Hm
5R: 31,06 km; 350 Hm
6R: 36,76 km; 420 Hm</t>
        </r>
      </text>
    </comment>
    <comment ref="A22" authorId="0" shapeId="0" xr:uid="{00000000-0006-0000-0900-000008000000}">
      <text>
        <r>
          <rPr>
            <sz val="9"/>
            <color indexed="81"/>
            <rFont val="Tahoma"/>
            <family val="2"/>
          </rPr>
          <t>Runde ca. 9,6 km; 200 Hm; 30 Min
1R = 14,8 km; 330 Hm; 0:50
2R = 24,4 km; 530 Hm; 1:20
3R = 34,0 km; 730 Hm; 1:50
4R = 43,6 km; 930 Hm; 2:20
5R = 53,2 km; 1130 Hm; 2:50</t>
        </r>
      </text>
    </comment>
    <comment ref="A23" authorId="1" shapeId="0" xr:uid="{00000000-0006-0000-0900-000009000000}">
      <text>
        <r>
          <rPr>
            <sz val="9"/>
            <color indexed="81"/>
            <rFont val="Tahoma"/>
            <family val="2"/>
          </rPr>
          <t>Runde ca. 10,7 km; 310 Hm; 35 min</t>
        </r>
      </text>
    </comment>
    <comment ref="F23" authorId="1" shapeId="0" xr:uid="{00000000-0006-0000-0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Mudweg</t>
        </r>
      </text>
    </comment>
    <comment ref="A24" authorId="0" shapeId="0" xr:uid="{00000000-0006-0000-0900-00000B000000}">
      <text>
        <r>
          <rPr>
            <sz val="9"/>
            <color indexed="81"/>
            <rFont val="Tahoma"/>
            <charset val="1"/>
          </rPr>
          <t>Runde ca. 8,8 km; 266 Hm; 35 Min
385 Hm über Laudenbach-Wellig</t>
        </r>
      </text>
    </comment>
    <comment ref="F24" authorId="0" shapeId="0" xr:uid="{00000000-0006-0000-0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(Laudenbach)
Wende 150 (Laudenbach)
max Höhe 416 (Bremhof-Pass)
Hin: Main-Radweg
Zurück: Kleinheubach Rüdenauer Straße</t>
        </r>
      </text>
    </comment>
    <comment ref="A25" authorId="1" shapeId="0" xr:uid="{00000000-0006-0000-0900-00000D000000}">
      <text>
        <r>
          <rPr>
            <sz val="9"/>
            <color indexed="81"/>
            <rFont val="Tahoma"/>
            <family val="2"/>
          </rPr>
          <t>Runde ca. 7,0 km; 230 Hm; 30 min
1R max: 10,6 km; 310 Hm</t>
        </r>
      </text>
    </comment>
    <comment ref="A31" authorId="0" shapeId="0" xr:uid="{00000000-0006-0000-0900-00000E000000}">
      <text>
        <r>
          <rPr>
            <sz val="9"/>
            <color indexed="81"/>
            <rFont val="Tahoma"/>
            <charset val="1"/>
          </rPr>
          <t>Runde ca. 3,3 km; 130 Hm; 13 Min;
Hinfahrt: Kreisel, Rückfahrt: Ampel
Montag Ruhetag</t>
        </r>
      </text>
    </comment>
    <comment ref="F31" authorId="0" shapeId="0" xr:uid="{00000000-0006-0000-0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125 (Großheubach)
Wende 140 (Kreisel)
Max Höhe 270 (Parkplatz)</t>
        </r>
      </text>
    </comment>
    <comment ref="A36" authorId="1" shapeId="0" xr:uid="{00000000-0006-0000-0900-000011000000}">
      <text>
        <r>
          <rPr>
            <sz val="9"/>
            <color indexed="81"/>
            <rFont val="Tahoma"/>
            <family val="2"/>
          </rPr>
          <t>Runde ca. 4,6 km; 25 Hm; 12 Min
0R =   6,8 km; 15 Hm
1R = 11,4 km; 40 Hm; 0:30
2R = 16,0 km; 65 Hm; 0:42
3R = 20,6 km; 90 Hm; 0:54
4R = 25,2 km; 115 Hm; 1:06
5R = 29,8 km; 140 Hm; 1:18
6R = 34,4 km; 165 Hm; 1:30
7R = 39,0 km; 190 Hm; 1:42
8R = 43,6 km; 215 Hm; 1:54
9R = 48,2 km; 240 Hm; 2:06
10 = 52,8 km; 265 Hm; 2:18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 shapeId="0" xr:uid="{00000000-0006-0000-0A00-000003000000}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 shapeId="0" xr:uid="{00000000-0006-0000-0A00-000008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 shapeId="0" xr:uid="{00000000-0006-0000-0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 shapeId="0" xr:uid="{00000000-0006-0000-0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 shapeId="0" xr:uid="{00000000-0006-0000-0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 shapeId="0" xr:uid="{00000000-0006-0000-0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 shapeId="0" xr:uid="{00000000-0006-0000-0A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 shapeId="0" xr:uid="{00000000-0006-0000-0A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 shapeId="0" xr:uid="{00000000-0006-0000-0A00-000019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 shapeId="0" xr:uid="{00000000-0006-0000-0A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 shapeId="0" xr:uid="{00000000-0006-0000-0A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 shapeId="0" xr:uid="{00000000-0006-0000-0A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 shapeId="0" xr:uid="{00000000-0006-0000-0A00-000022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 shapeId="0" xr:uid="{00000000-0006-0000-0A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A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 shapeId="0" xr:uid="{00000000-0006-0000-0A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 shapeId="0" xr:uid="{00000000-0006-0000-0A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 shapeId="0" xr:uid="{00000000-0006-0000-0A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 shapeId="0" xr:uid="{00000000-0006-0000-0A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 shapeId="0" xr:uid="{00000000-0006-0000-0A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 shapeId="0" xr:uid="{00000000-0006-0000-0A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 shapeId="0" xr:uid="{00000000-0006-0000-0A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 shapeId="0" xr:uid="{00000000-0006-0000-0A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 shapeId="0" xr:uid="{00000000-0006-0000-0A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 shapeId="0" xr:uid="{00000000-0006-0000-0A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 shapeId="0" xr:uid="{00000000-0006-0000-0A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 shapeId="0" xr:uid="{00000000-0006-0000-0A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 shapeId="0" xr:uid="{00000000-0006-0000-0A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 shapeId="0" xr:uid="{00000000-0006-0000-0A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 shapeId="0" xr:uid="{00000000-0006-0000-0A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 shapeId="0" xr:uid="{00000000-0006-0000-0A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 shapeId="0" xr:uid="{00000000-0006-0000-0A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 shapeId="0" xr:uid="{00000000-0006-0000-0A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 shapeId="0" xr:uid="{00000000-0006-0000-0A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 shapeId="0" xr:uid="{00000000-0006-0000-0A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 shapeId="0" xr:uid="{00000000-0006-0000-0B00-000002000000}">
      <text>
        <r>
          <rPr>
            <sz val="9"/>
            <color indexed="81"/>
            <rFont val="Tahoma"/>
            <charset val="1"/>
          </rPr>
          <t>Marathon, 27.04.2008
optimale Bedingungen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 shapeId="0" xr:uid="{00000000-0006-0000-0B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 shapeId="0" xr:uid="{00000000-0006-0000-0B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 shapeId="0" xr:uid="{00000000-0006-0000-0B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 shapeId="0" xr:uid="{00000000-0006-0000-0B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G5" authorId="2" shapeId="0" xr:uid="{13E6AF75-CD05-4CED-826E-A33895777D81}">
      <text>
        <r>
          <rPr>
            <sz val="9"/>
            <color indexed="81"/>
            <rFont val="Segoe UI"/>
            <family val="2"/>
          </rPr>
          <t>Unterhalb Geiersberg</t>
        </r>
      </text>
    </comment>
    <comment ref="A6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 shapeId="0" xr:uid="{00000000-0006-0000-0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 shapeId="0" xr:uid="{00000000-0006-0000-0B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 shapeId="0" xr:uid="{00000000-0006-0000-0B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 shapeId="0" xr:uid="{00000000-0006-0000-0B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 shapeId="0" xr:uid="{00000000-0006-0000-0B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 shapeId="0" xr:uid="{00000000-0006-0000-0B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 shapeId="0" xr:uid="{00000000-0006-0000-0B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 shapeId="0" xr:uid="{00000000-0006-0000-0B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 shapeId="0" xr:uid="{00000000-0006-0000-0B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 shapeId="0" xr:uid="{00000000-0006-0000-0B00-000020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 shapeId="0" xr:uid="{00000000-0006-0000-0B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 shapeId="0" xr:uid="{00000000-0006-0000-0B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 shapeId="0" xr:uid="{00000000-0006-0000-0B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 shapeId="0" xr:uid="{00000000-0006-0000-0B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 shapeId="0" xr:uid="{00000000-0006-0000-0B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 shapeId="0" xr:uid="{00000000-0006-0000-0B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 shapeId="0" xr:uid="{00000000-0006-0000-0B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 shapeId="0" xr:uid="{00000000-0006-0000-0B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 shapeId="0" xr:uid="{00000000-0006-0000-0B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 shapeId="0" xr:uid="{00000000-0006-0000-0B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 shapeId="0" xr:uid="{00000000-0006-0000-0B00-00002B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 shapeId="0" xr:uid="{00000000-0006-0000-0B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 shapeId="0" xr:uid="{00000000-0006-0000-0B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 shapeId="0" xr:uid="{00000000-0006-0000-0B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B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 shapeId="0" xr:uid="{00000000-0006-0000-0B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 shapeId="0" xr:uid="{00000000-0006-0000-0B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 shapeId="0" xr:uid="{00000000-0006-0000-0B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 shapeId="0" xr:uid="{00000000-0006-0000-0B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 shapeId="0" xr:uid="{00000000-0006-0000-0B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 shapeId="0" xr:uid="{00000000-0006-0000-0B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 shapeId="0" xr:uid="{00000000-0006-0000-0B00-000039000000}">
      <text>
        <r>
          <rPr>
            <sz val="9"/>
            <color indexed="81"/>
            <rFont val="Tahoma"/>
            <family val="2"/>
          </rPr>
          <t>Einzelzeitfahren
Kühl ca. 10 °C, etwas Regen</t>
        </r>
      </text>
    </comment>
    <comment ref="G19" authorId="1" shapeId="0" xr:uid="{00000000-0006-0000-0B00-00003A000000}">
      <text>
        <r>
          <rPr>
            <sz val="9"/>
            <color indexed="81"/>
            <rFont val="Tahoma"/>
            <family val="2"/>
          </rPr>
          <t>Metzgerei Weckbacher Straße</t>
        </r>
      </text>
    </comment>
    <comment ref="J19" authorId="0" shapeId="0" xr:uid="{00000000-0006-0000-0B00-00003B000000}">
      <text>
        <r>
          <rPr>
            <sz val="9"/>
            <color indexed="81"/>
            <rFont val="Tahoma"/>
            <family val="2"/>
          </rPr>
          <t>Start Gymnasium Miltenberg</t>
        </r>
      </text>
    </comment>
    <comment ref="A20" authorId="2" shapeId="0" xr:uid="{FCE8837D-1572-46E3-ABFC-6D57FDBD0904}">
      <text>
        <r>
          <rPr>
            <sz val="9"/>
            <color indexed="81"/>
            <rFont val="Segoe UI"/>
            <family val="2"/>
          </rPr>
          <t xml:space="preserve">1. Kreisel Amorbach
2 Kolpi-Runden
</t>
        </r>
        <r>
          <rPr>
            <sz val="8"/>
            <color indexed="81"/>
            <rFont val="Segoe UI"/>
            <family val="2"/>
          </rPr>
          <t>So. 03.10.2021 8:15 - 9:00 18 °C stark bewölkt, windstill</t>
        </r>
      </text>
    </comment>
    <comment ref="G20" authorId="2" shapeId="0" xr:uid="{82627BC7-A23D-421C-932A-BADF9E2628DF}">
      <text>
        <r>
          <rPr>
            <sz val="9"/>
            <color indexed="81"/>
            <rFont val="Segoe UI"/>
            <family val="2"/>
          </rPr>
          <t>1. Kreisel Amorbach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1000-000001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 shapeId="0" xr:uid="{00000000-0006-0000-1000-000004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 shapeId="0" xr:uid="{00000000-0006-0000-1000-000005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1000-000006000000}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Gipfellift </t>
        </r>
        <r>
          <rPr>
            <b/>
            <sz val="9"/>
            <color indexed="81"/>
            <rFont val="Tahoma"/>
            <family val="2"/>
          </rPr>
          <t xml:space="preserve">(1630 max)
</t>
        </r>
        <r>
          <rPr>
            <sz val="8"/>
            <color indexed="81"/>
            <rFont val="Tahoma"/>
            <family val="2"/>
          </rPr>
          <t>Montag, 29.07.2008</t>
        </r>
      </text>
    </comment>
    <comment ref="G2" authorId="0" shapeId="0" xr:uid="{00000000-0006-0000-1000-000007000000}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 shapeId="0" xr:uid="{00000000-0006-0000-1000-000008000000}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 shapeId="0" xr:uid="{00000000-0006-0000-1000-000009000000}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 shapeId="0" xr:uid="{00000000-0006-0000-1000-00000A000000}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 shapeId="0" xr:uid="{00000000-0006-0000-1000-00000B000000}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 shapeId="0" xr:uid="{00000000-0006-0000-1000-00000C000000}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 shapeId="0" xr:uid="{00000000-0006-0000-1000-00000D000000}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 shapeId="0" xr:uid="{00000000-0006-0000-1000-00000E000000}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 shapeId="0" xr:uid="{00000000-0006-0000-1000-00000F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 shapeId="0" xr:uid="{00000000-0006-0000-1000-000010000000}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 shapeId="0" xr:uid="{00000000-0006-0000-1000-000011000000}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 shapeId="0" xr:uid="{00000000-0006-0000-1000-000012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 shapeId="0" xr:uid="{00000000-0006-0000-1000-000013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 shapeId="0" xr:uid="{00000000-0006-0000-1000-000014000000}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 shapeId="0" xr:uid="{00000000-0006-0000-1000-000015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 shapeId="0" xr:uid="{00000000-0006-0000-1000-000016000000}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 shapeId="0" xr:uid="{00000000-0006-0000-1000-000017000000}">
      <text>
        <r>
          <rPr>
            <sz val="9"/>
            <color indexed="81"/>
            <rFont val="Tahoma"/>
            <charset val="1"/>
          </rPr>
          <t xml:space="preserve">P: Kirchheim unter Teck, bei der Linde 1 (AB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 shapeId="0" xr:uid="{00000000-0006-0000-1000-000018000000}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 shapeId="0" xr:uid="{00000000-0006-0000-1000-000019000000}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 shapeId="0" xr:uid="{00000000-0006-0000-1000-00001A000000}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 shapeId="0" xr:uid="{00000000-0006-0000-1000-00001B000000}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 shapeId="0" xr:uid="{00000000-0006-0000-1000-00001C000000}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 shapeId="0" xr:uid="{00000000-0006-0000-1000-00001D000000}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 shapeId="0" xr:uid="{00000000-0006-0000-1000-00001E000000}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 shapeId="0" xr:uid="{00000000-0006-0000-1000-00001F000000}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 shapeId="0" xr:uid="{00000000-0006-0000-1000-000020000000}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 shapeId="0" xr:uid="{00000000-0006-0000-1000-000021000000}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 shapeId="0" xr:uid="{00000000-0006-0000-1000-000022000000}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 shapeId="0" xr:uid="{00000000-0006-0000-1000-000023000000}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 shapeId="0" xr:uid="{00000000-0006-0000-1000-000024000000}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 shapeId="0" xr:uid="{00000000-0006-0000-1000-000025000000}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 shapeId="0" xr:uid="{00000000-0006-0000-1000-000026000000}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 shapeId="0" xr:uid="{00000000-0006-0000-1000-000027000000}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 shapeId="0" xr:uid="{00000000-0006-0000-1000-000028000000}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 shapeId="0" xr:uid="{00000000-0006-0000-1000-000029000000}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 shapeId="0" xr:uid="{00000000-0006-0000-1000-00002A000000}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 shapeId="0" xr:uid="{00000000-0006-0000-1000-00002B000000}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 shapeId="0" xr:uid="{00000000-0006-0000-1000-00002C000000}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 shapeId="0" xr:uid="{00000000-0006-0000-1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 shapeId="0" xr:uid="{00000000-0006-0000-1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 shapeId="0" xr:uid="{00000000-0006-0000-11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 shapeId="0" xr:uid="{00000000-0006-0000-1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 shapeId="0" xr:uid="{00000000-0006-0000-11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 shapeId="0" xr:uid="{00000000-0006-0000-11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 shapeId="0" xr:uid="{00000000-0006-0000-1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 shapeId="0" xr:uid="{00000000-0006-0000-11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 shapeId="0" xr:uid="{00000000-0006-0000-1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 shapeId="0" xr:uid="{00000000-0006-0000-11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 shapeId="0" xr:uid="{00000000-0006-0000-11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 shapeId="0" xr:uid="{00000000-0006-0000-11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 shapeId="0" xr:uid="{00000000-0006-0000-11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 shapeId="0" xr:uid="{00000000-0006-0000-11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 shapeId="0" xr:uid="{00000000-0006-0000-11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 shapeId="0" xr:uid="{00000000-0006-0000-11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 shapeId="0" xr:uid="{00000000-0006-0000-11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 shapeId="0" xr:uid="{00000000-0006-0000-11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 shapeId="0" xr:uid="{00000000-0006-0000-11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 shapeId="0" xr:uid="{00000000-0006-0000-11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 shapeId="0" xr:uid="{00000000-0006-0000-11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 shapeId="0" xr:uid="{00000000-0006-0000-11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 shapeId="0" xr:uid="{00000000-0006-0000-11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 shapeId="0" xr:uid="{00000000-0006-0000-11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 shapeId="0" xr:uid="{00000000-0006-0000-11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 shapeId="0" xr:uid="{00000000-0006-0000-11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 shapeId="0" xr:uid="{00000000-0006-0000-11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 shapeId="0" xr:uid="{00000000-0006-0000-11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 shapeId="0" xr:uid="{00000000-0006-0000-11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 shapeId="0" xr:uid="{00000000-0006-0000-11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 shapeId="0" xr:uid="{00000000-0006-0000-11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 shapeId="0" xr:uid="{00000000-0006-0000-11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 shapeId="0" xr:uid="{00000000-0006-0000-11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 shapeId="0" xr:uid="{00000000-0006-0000-11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 shapeId="0" xr:uid="{00000000-0006-0000-11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 shapeId="0" xr:uid="{00000000-0006-0000-11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 shapeId="0" xr:uid="{00000000-0006-0000-11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 shapeId="0" xr:uid="{00000000-0006-0000-11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 shapeId="0" xr:uid="{00000000-0006-0000-11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 shapeId="0" xr:uid="{00000000-0006-0000-11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 shapeId="0" xr:uid="{00000000-0006-0000-11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 shapeId="0" xr:uid="{00000000-0006-0000-11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 shapeId="0" xr:uid="{00000000-0006-0000-1100-00003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 shapeId="0" xr:uid="{00000000-0006-0000-11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 shapeId="0" xr:uid="{00000000-0006-0000-11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 shapeId="0" xr:uid="{00000000-0006-0000-1100-00004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 shapeId="0" xr:uid="{00000000-0006-0000-11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 shapeId="0" xr:uid="{00000000-0006-0000-11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 shapeId="0" xr:uid="{00000000-0006-0000-11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 shapeId="0" xr:uid="{00000000-0006-0000-11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 shapeId="0" xr:uid="{00000000-0006-0000-11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 shapeId="0" xr:uid="{00000000-0006-0000-11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 shapeId="0" xr:uid="{00000000-0006-0000-11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 shapeId="0" xr:uid="{00000000-0006-0000-11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 shapeId="0" xr:uid="{00000000-0006-0000-11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 shapeId="0" xr:uid="{00000000-0006-0000-11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 shapeId="0" xr:uid="{00000000-0006-0000-11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 shapeId="0" xr:uid="{00000000-0006-0000-11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 shapeId="0" xr:uid="{00000000-0006-0000-11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 shapeId="0" xr:uid="{00000000-0006-0000-11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 shapeId="0" xr:uid="{00000000-0006-0000-11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 shapeId="0" xr:uid="{00000000-0006-0000-11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 shapeId="0" xr:uid="{00000000-0006-0000-11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 shapeId="0" xr:uid="{00000000-0006-0000-11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 shapeId="0" xr:uid="{00000000-0006-0000-1100-00005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 shapeId="0" xr:uid="{00000000-0006-0000-11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 shapeId="0" xr:uid="{00000000-0006-0000-11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 shapeId="0" xr:uid="{00000000-0006-0000-1100-00005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 shapeId="0" xr:uid="{00000000-0006-0000-11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 shapeId="0" xr:uid="{00000000-0006-0000-11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 shapeId="0" xr:uid="{00000000-0006-0000-11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 shapeId="0" xr:uid="{00000000-0006-0000-11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3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 shapeId="0" xr:uid="{00000000-0006-0000-1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 shapeId="0" xr:uid="{00000000-0006-0000-1200-000003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 shapeId="0" xr:uid="{00000000-0006-0000-12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 shapeId="0" xr:uid="{00000000-0006-0000-12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 shapeId="0" xr:uid="{00000000-0006-0000-12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 shapeId="0" xr:uid="{00000000-0006-0000-12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 shapeId="0" xr:uid="{00000000-0006-0000-12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 shapeId="0" xr:uid="{00000000-0006-0000-12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 shapeId="0" xr:uid="{00000000-0006-0000-12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 shapeId="0" xr:uid="{00000000-0006-0000-12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 shapeId="0" xr:uid="{00000000-0006-0000-12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 shapeId="0" xr:uid="{00000000-0006-0000-12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 shapeId="0" xr:uid="{00000000-0006-0000-12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 shapeId="0" xr:uid="{00000000-0006-0000-12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 shapeId="0" xr:uid="{00000000-0006-0000-12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 shapeId="0" xr:uid="{00000000-0006-0000-12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 shapeId="0" xr:uid="{00000000-0006-0000-12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 shapeId="0" xr:uid="{00000000-0006-0000-12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 shapeId="0" xr:uid="{00000000-0006-0000-12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 shapeId="0" xr:uid="{00000000-0006-0000-12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 shapeId="0" xr:uid="{00000000-0006-0000-12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 shapeId="0" xr:uid="{00000000-0006-0000-12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 shapeId="0" xr:uid="{00000000-0006-0000-12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 shapeId="0" xr:uid="{00000000-0006-0000-12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 shapeId="0" xr:uid="{00000000-0006-0000-12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 shapeId="0" xr:uid="{00000000-0006-0000-12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 shapeId="0" xr:uid="{00000000-0006-0000-12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 shapeId="0" xr:uid="{00000000-0006-0000-12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 shapeId="0" xr:uid="{00000000-0006-0000-12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 shapeId="0" xr:uid="{00000000-0006-0000-1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 shapeId="0" xr:uid="{00000000-0006-0000-12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 shapeId="0" xr:uid="{00000000-0006-0000-12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 shapeId="0" xr:uid="{00000000-0006-0000-12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 shapeId="0" xr:uid="{00000000-0006-0000-12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 shapeId="0" xr:uid="{00000000-0006-0000-12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 shapeId="0" xr:uid="{00000000-0006-0000-12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 shapeId="0" xr:uid="{00000000-0006-0000-12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 shapeId="0" xr:uid="{00000000-0006-0000-12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 shapeId="0" xr:uid="{00000000-0006-0000-12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 shapeId="0" xr:uid="{00000000-0006-0000-12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 shapeId="0" xr:uid="{00000000-0006-0000-12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 shapeId="0" xr:uid="{00000000-0006-0000-12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 shapeId="0" xr:uid="{00000000-0006-0000-12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 shapeId="0" xr:uid="{00000000-0006-0000-12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 shapeId="0" xr:uid="{00000000-0006-0000-12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 shapeId="0" xr:uid="{00000000-0006-0000-12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 shapeId="0" xr:uid="{00000000-0006-0000-12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 shapeId="0" xr:uid="{00000000-0006-0000-12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 shapeId="0" xr:uid="{00000000-0006-0000-12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 shapeId="0" xr:uid="{00000000-0006-0000-12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 shapeId="0" xr:uid="{00000000-0006-0000-12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 shapeId="0" xr:uid="{00000000-0006-0000-12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 shapeId="0" xr:uid="{00000000-0006-0000-12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 shapeId="0" xr:uid="{00000000-0006-0000-1200-00003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 shapeId="0" xr:uid="{00000000-0006-0000-12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 shapeId="0" xr:uid="{00000000-0006-0000-12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 shapeId="0" xr:uid="{00000000-0006-0000-12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 shapeId="0" xr:uid="{00000000-0006-0000-12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 shapeId="0" xr:uid="{00000000-0006-0000-12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 shapeId="0" xr:uid="{00000000-0006-0000-12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 shapeId="0" xr:uid="{00000000-0006-0000-12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 shapeId="0" xr:uid="{00000000-0006-0000-12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 shapeId="0" xr:uid="{00000000-0006-0000-12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 shapeId="0" xr:uid="{00000000-0006-0000-12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 shapeId="0" xr:uid="{00000000-0006-0000-12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 shapeId="0" xr:uid="{00000000-0006-0000-12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 shapeId="0" xr:uid="{00000000-0006-0000-12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 shapeId="0" xr:uid="{00000000-0006-0000-12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 shapeId="0" xr:uid="{00000000-0006-0000-12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 shapeId="0" xr:uid="{00000000-0006-0000-12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 shapeId="0" xr:uid="{00000000-0006-0000-12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 shapeId="0" xr:uid="{00000000-0006-0000-12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 shapeId="0" xr:uid="{00000000-0006-0000-12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 shapeId="0" xr:uid="{00000000-0006-0000-1200-00004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 shapeId="0" xr:uid="{00000000-0006-0000-1200-00004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 shapeId="0" xr:uid="{00000000-0006-0000-12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 shapeId="0" xr:uid="{00000000-0006-0000-12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 shapeId="0" xr:uid="{00000000-0006-0000-12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 shapeId="0" xr:uid="{00000000-0006-0000-12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 shapeId="0" xr:uid="{00000000-0006-0000-12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 shapeId="0" xr:uid="{00000000-0006-0000-12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 shapeId="0" xr:uid="{00000000-0006-0000-12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 shapeId="0" xr:uid="{00000000-0006-0000-12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 shapeId="0" xr:uid="{00000000-0006-0000-12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 shapeId="0" xr:uid="{00000000-0006-0000-12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 shapeId="0" xr:uid="{00000000-0006-0000-12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 shapeId="0" xr:uid="{00000000-0006-0000-12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 shapeId="0" xr:uid="{00000000-0006-0000-1200-00005A000000}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 shapeId="0" xr:uid="{00000000-0006-0000-1200-00005B000000}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 shapeId="0" xr:uid="{00000000-0006-0000-1200-00005C000000}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 shapeId="0" xr:uid="{00000000-0006-0000-1200-00005D000000}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U1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 shapeId="0" xr:uid="{00000000-0006-0000-1E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K22" authorId="1" shapeId="0" xr:uid="{B4AE5D4C-024A-492F-B710-3AF390A48C1C}">
      <text>
        <r>
          <rPr>
            <b/>
            <sz val="9"/>
            <color indexed="81"/>
            <rFont val="Segoe UI"/>
            <charset val="1"/>
          </rPr>
          <t xml:space="preserve">Kommentar:
</t>
        </r>
        <r>
          <rPr>
            <sz val="9"/>
            <color indexed="81"/>
            <rFont val="Segoe UI"/>
            <family val="2"/>
          </rPr>
          <t>1. des Monats
- Auf-/Untergang
- Tageslänge
- Veränderung gegenüber Vormonat</t>
        </r>
      </text>
    </comment>
    <comment ref="O22" authorId="0" shapeId="0" xr:uid="{00000000-0006-0000-1E00-000004000000}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 shapeId="0" xr:uid="{00000000-0006-0000-1E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 shapeId="0" xr:uid="{00000000-0006-0000-1E00-000006000000}">
      <text>
        <r>
          <rPr>
            <b/>
            <sz val="9"/>
            <color indexed="81"/>
            <rFont val="Tahoma"/>
            <charset val="1"/>
          </rPr>
          <t>8:19-16:33 (8:13) - 0:14</t>
        </r>
      </text>
    </comment>
    <comment ref="K24" authorId="1" shapeId="0" xr:uid="{00000000-0006-0000-1E00-000007000000}">
      <text>
        <r>
          <rPr>
            <b/>
            <sz val="9"/>
            <color indexed="81"/>
            <rFont val="Tahoma"/>
            <charset val="1"/>
          </rPr>
          <t>7:56-17:17 (9:21) +1:08</t>
        </r>
      </text>
    </comment>
    <comment ref="K25" authorId="1" shapeId="0" xr:uid="{00000000-0006-0000-1E00-000008000000}">
      <text>
        <r>
          <rPr>
            <b/>
            <sz val="9"/>
            <color indexed="81"/>
            <rFont val="Tahoma"/>
            <charset val="1"/>
          </rPr>
          <t>7:04-18:06 (11:01) +1:40</t>
        </r>
      </text>
    </comment>
    <comment ref="K26" authorId="1" shapeId="0" xr:uid="{00000000-0006-0000-1E00-000009000000}">
      <text>
        <r>
          <rPr>
            <b/>
            <sz val="9"/>
            <color indexed="81"/>
            <rFont val="Tahoma"/>
            <charset val="1"/>
          </rPr>
          <t>6:59-19:55 (12:56) +1:55</t>
        </r>
      </text>
    </comment>
    <comment ref="K27" authorId="1" shapeId="0" xr:uid="{00000000-0006-0000-1E00-00000A000000}">
      <text>
        <r>
          <rPr>
            <b/>
            <sz val="9"/>
            <color indexed="81"/>
            <rFont val="Tahoma"/>
            <charset val="1"/>
          </rPr>
          <t>5:59-20:41 (14:42) +1:46</t>
        </r>
      </text>
    </comment>
    <comment ref="K28" authorId="1" shapeId="0" xr:uid="{00000000-0006-0000-1E00-00000B000000}">
      <text>
        <r>
          <rPr>
            <b/>
            <sz val="9"/>
            <color indexed="81"/>
            <rFont val="Tahoma"/>
            <charset val="1"/>
          </rPr>
          <t>5:19-21:22 (16:03) +1:21</t>
        </r>
      </text>
    </comment>
    <comment ref="K29" authorId="1" shapeId="0" xr:uid="{00000000-0006-0000-1E00-00000C000000}">
      <text>
        <r>
          <rPr>
            <b/>
            <sz val="9"/>
            <color indexed="81"/>
            <rFont val="Tahoma"/>
            <charset val="1"/>
          </rPr>
          <t>5:19-21:34 (16:15) +0:12</t>
        </r>
      </text>
    </comment>
    <comment ref="K30" authorId="1" shapeId="0" xr:uid="{00000000-0006-0000-1E00-00000D000000}">
      <text>
        <r>
          <rPr>
            <b/>
            <sz val="9"/>
            <color indexed="81"/>
            <rFont val="Tahoma"/>
            <charset val="1"/>
          </rPr>
          <t>5:53-21:04 (15:10) -1:05</t>
        </r>
      </text>
    </comment>
    <comment ref="K31" authorId="1" shapeId="0" xr:uid="{00000000-0006-0000-1E00-00000E000000}">
      <text>
        <r>
          <rPr>
            <b/>
            <sz val="9"/>
            <color indexed="81"/>
            <rFont val="Tahoma"/>
            <charset val="1"/>
          </rPr>
          <t>6:38-20:06 (13:27) - 1:43</t>
        </r>
      </text>
    </comment>
    <comment ref="K32" authorId="1" shapeId="0" xr:uid="{00000000-0006-0000-1E00-00000F000000}">
      <text>
        <r>
          <rPr>
            <b/>
            <sz val="9"/>
            <color indexed="81"/>
            <rFont val="Tahoma"/>
            <charset val="1"/>
          </rPr>
          <t>7:23-19:01 (11:38) - 1:49</t>
        </r>
      </text>
    </comment>
    <comment ref="K33" authorId="1" shapeId="0" xr:uid="{00000000-0006-0000-1E00-000010000000}">
      <text>
        <r>
          <rPr>
            <b/>
            <sz val="9"/>
            <color indexed="81"/>
            <rFont val="Tahoma"/>
            <charset val="1"/>
          </rPr>
          <t>7:12-17:00 (9:48) - 1:50</t>
        </r>
      </text>
    </comment>
    <comment ref="K34" authorId="1" shapeId="0" xr:uid="{00000000-0006-0000-1E00-000011000000}">
      <text>
        <r>
          <rPr>
            <b/>
            <sz val="9"/>
            <color indexed="81"/>
            <rFont val="Tahoma"/>
            <charset val="1"/>
          </rPr>
          <t>7:58-16:25 (8:27) -1:21</t>
        </r>
      </text>
    </comment>
    <comment ref="O34" authorId="0" shapeId="0" xr:uid="{00000000-0006-0000-1E00-000012000000}">
      <text>
        <r>
          <rPr>
            <sz val="9"/>
            <color indexed="81"/>
            <rFont val="Tahoma"/>
            <charset val="1"/>
          </rPr>
          <t>vor 21. frühester Abend: 16:22 (ca. 4-9 Tage vorher)
nach 21. spätester Morgen: 8:20 (ca. 4-9 Tage nachher)</t>
        </r>
      </text>
    </comment>
    <comment ref="U35" authorId="0" shapeId="0" xr:uid="{00000000-0006-0000-1E00-000013000000}">
      <text>
        <r>
          <rPr>
            <sz val="9"/>
            <color indexed="81"/>
            <rFont val="Tahoma"/>
            <family val="2"/>
          </rPr>
          <t>Tacho Fehler km</t>
        </r>
      </text>
    </comment>
    <comment ref="U36" authorId="0" shapeId="0" xr:uid="{00000000-0006-0000-1E00-000014000000}">
      <text>
        <r>
          <rPr>
            <sz val="9"/>
            <color indexed="81"/>
            <rFont val="Tahoma"/>
            <family val="2"/>
          </rPr>
          <t>Auf km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Q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 shapeId="0" xr:uid="{00000000-0006-0000-1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4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V1" authorId="0" shapeId="0" xr:uid="{00000000-0006-0000-1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 shapeId="0" xr:uid="{00000000-0006-0000-15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 shapeId="0" xr:uid="{00000000-0006-0000-1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5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5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I1" authorId="0" shapeId="0" xr:uid="{00000000-0006-0000-0100-000001000000}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 shapeId="0" xr:uid="{00000000-0006-0000-0100-000003000000}">
      <text>
        <r>
          <rPr>
            <sz val="9"/>
            <color indexed="81"/>
            <rFont val="Tahoma"/>
            <family val="2"/>
          </rPr>
          <t xml:space="preserve">MR: Kleinheubach, Großheubach, Miltenberg,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
Max: 8:00 - 16:00 - 141 km bis Erlach Kreuzung Straße (2 Riegel, 0.75ℓ + 0.25ℓ Cola, Skisocken)</t>
        </r>
      </text>
    </comment>
    <comment ref="G3" authorId="2" shapeId="0" xr:uid="{00000000-0006-0000-0100-000004000000}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 shapeId="0" xr:uid="{00000000-0006-0000-0100-000008000000}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 shapeId="0" xr:uid="{00000000-0006-0000-0100-000009000000}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 shapeId="0" xr:uid="{00000000-0006-0000-0100-00000A000000}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</t>
        </r>
      </text>
    </comment>
    <comment ref="A11" authorId="2" shapeId="0" xr:uid="{00000000-0006-0000-0100-00000C000000}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 shapeId="0" xr:uid="{00000000-0006-0000-0100-00000E000000}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 shapeId="0" xr:uid="{00000000-0006-0000-0100-00000F000000}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 shapeId="0" xr:uid="{00000000-0006-0000-0100-000010000000}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 shapeId="0" xr:uid="{00000000-0006-0000-0100-000011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 shapeId="0" xr:uid="{00000000-0006-0000-0100-000012000000}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Sa 2022-12-03 8:30 - 11:30 2-3°C Hochnebel, Wind 2, MTB</t>
        </r>
      </text>
    </comment>
    <comment ref="A18" authorId="2" shapeId="0" xr:uid="{00000000-0006-0000-0100-000013000000}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 shapeId="0" xr:uid="{00000000-0006-0000-0100-000014000000}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 shapeId="0" xr:uid="{00000000-0006-0000-0100-000015000000}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 shapeId="0" xr:uid="{00000000-0006-0000-0100-000016000000}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 shapeId="0" xr:uid="{00000000-0006-0000-0100-000017000000}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 shapeId="0" xr:uid="{00000000-0006-0000-0100-000018000000}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 shapeId="0" xr:uid="{00000000-0006-0000-0100-000019000000}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 shapeId="0" xr:uid="{00000000-0006-0000-0100-00001D000000}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 shapeId="0" xr:uid="{00000000-0006-0000-0100-00001F000000}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 shapeId="0" xr:uid="{00000000-0006-0000-0100-000020000000}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 shapeId="0" xr:uid="{00000000-0006-0000-0100-000022000000}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 shapeId="0" xr:uid="{00000000-0006-0000-0100-000023000000}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 shapeId="0" xr:uid="{00000000-0006-0000-0100-000024000000}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 shapeId="0" xr:uid="{00000000-0006-0000-0100-000025000000}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 shapeId="0" xr:uid="{00000000-0006-0000-0100-000027000000}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 shapeId="0" xr:uid="{00000000-0006-0000-0100-000028000000}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 shapeId="0" xr:uid="{00000000-0006-0000-0100-000029000000}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 shapeId="0" xr:uid="{00000000-0006-0000-1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 shapeId="0" xr:uid="{00000000-0006-0000-16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6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6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 shapeId="0" xr:uid="{00000000-0006-0000-17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 shapeId="0" xr:uid="{00000000-0006-0000-17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7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7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 shapeId="0" xr:uid="{00000000-0006-0000-18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 shapeId="0" xr:uid="{00000000-0006-0000-18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 shapeId="0" xr:uid="{00000000-0006-0000-18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 shapeId="0" xr:uid="{00000000-0006-0000-18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 shapeId="0" xr:uid="{00000000-0006-0000-18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 shapeId="0" xr:uid="{00000000-0006-0000-18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 shapeId="0" xr:uid="{00000000-0006-0000-18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 shapeId="0" xr:uid="{00000000-0006-0000-18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 shapeId="0" xr:uid="{00000000-0006-0000-18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 shapeId="0" xr:uid="{00000000-0006-0000-18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 shapeId="0" xr:uid="{00000000-0006-0000-18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 shapeId="0" xr:uid="{00000000-0006-0000-18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8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8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 shapeId="0" xr:uid="{00000000-0006-0000-1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 shapeId="0" xr:uid="{00000000-0006-0000-1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 shapeId="0" xr:uid="{00000000-0006-0000-19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 shapeId="0" xr:uid="{00000000-0006-0000-19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 shapeId="0" xr:uid="{00000000-0006-0000-19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 shapeId="0" xr:uid="{00000000-0006-0000-19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 shapeId="0" xr:uid="{00000000-0006-0000-19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 shapeId="0" xr:uid="{00000000-0006-0000-19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 shapeId="0" xr:uid="{00000000-0006-0000-1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 shapeId="0" xr:uid="{00000000-0006-0000-19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 shapeId="0" xr:uid="{00000000-0006-0000-1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 shapeId="0" xr:uid="{00000000-0006-0000-19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 shapeId="0" xr:uid="{00000000-0006-0000-19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 shapeId="0" xr:uid="{00000000-0006-0000-1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 shapeId="0" xr:uid="{00000000-0006-0000-19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 shapeId="0" xr:uid="{00000000-0006-0000-19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 shapeId="0" xr:uid="{00000000-0006-0000-19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 shapeId="0" xr:uid="{00000000-0006-0000-19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 shapeId="0" xr:uid="{00000000-0006-0000-19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9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9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9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9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 shapeId="0" xr:uid="{00000000-0006-0000-1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 shapeId="0" xr:uid="{00000000-0006-0000-1A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 shapeId="0" xr:uid="{00000000-0006-0000-1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 shapeId="0" xr:uid="{00000000-0006-0000-1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 shapeId="0" xr:uid="{00000000-0006-0000-1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 shapeId="0" xr:uid="{00000000-0006-0000-1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 shapeId="0" xr:uid="{00000000-0006-0000-1A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 shapeId="0" xr:uid="{00000000-0006-0000-1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 shapeId="0" xr:uid="{00000000-0006-0000-1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 shapeId="0" xr:uid="{00000000-0006-0000-1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 shapeId="0" xr:uid="{00000000-0006-0000-1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 shapeId="0" xr:uid="{00000000-0006-0000-1A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 shapeId="0" xr:uid="{00000000-0006-0000-1A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 shapeId="0" xr:uid="{00000000-0006-0000-1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 shapeId="0" xr:uid="{00000000-0006-0000-1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A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A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 shapeId="0" xr:uid="{00000000-0006-0000-1B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 shapeId="0" xr:uid="{00000000-0006-0000-1B00-000003000000}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 shapeId="0" xr:uid="{00000000-0006-0000-1B00-000004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 shapeId="0" xr:uid="{00000000-0006-0000-1B00-000005000000}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 shapeId="0" xr:uid="{00000000-0006-0000-1B00-000006000000}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 shapeId="0" xr:uid="{00000000-0006-0000-1B00-000007000000}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 shapeId="0" xr:uid="{00000000-0006-0000-1B00-000008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 shapeId="0" xr:uid="{00000000-0006-0000-1B00-000009000000}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 shapeId="0" xr:uid="{00000000-0006-0000-1B00-00000A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 shapeId="0" xr:uid="{00000000-0006-0000-1B00-00000B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 shapeId="0" xr:uid="{00000000-0006-0000-1B00-00000C000000}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 shapeId="0" xr:uid="{00000000-0006-0000-1B00-00000D000000}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 shapeId="0" xr:uid="{00000000-0006-0000-1B00-00000E000000}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 shapeId="0" xr:uid="{00000000-0006-0000-1B00-00000F000000}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 shapeId="0" xr:uid="{00000000-0006-0000-1B00-000010000000}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 shapeId="0" xr:uid="{00000000-0006-0000-1B00-000011000000}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 shapeId="0" xr:uid="{00000000-0006-0000-1B00-000012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 shapeId="0" xr:uid="{00000000-0006-0000-1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V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 shapeId="0" xr:uid="{00000000-0006-0000-1C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 shapeId="0" xr:uid="{00000000-0006-0000-1C00-000003000000}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 shapeId="0" xr:uid="{00000000-0006-0000-1C00-000004000000}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 shapeId="0" xr:uid="{00000000-0006-0000-1C00-000005000000}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 shapeId="0" xr:uid="{00000000-0006-0000-1C00-000006000000}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 shapeId="0" xr:uid="{00000000-0006-0000-1C00-000007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 shapeId="0" xr:uid="{00000000-0006-0000-1C00-000008000000}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 shapeId="0" xr:uid="{00000000-0006-0000-1C00-000009000000}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 shapeId="0" xr:uid="{00000000-0006-0000-1C00-00000A000000}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 shapeId="0" xr:uid="{00000000-0006-0000-1C00-00000B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 shapeId="0" xr:uid="{00000000-0006-0000-1C00-00000C000000}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 shapeId="0" xr:uid="{00000000-0006-0000-1C00-00000D000000}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 shapeId="0" xr:uid="{00000000-0006-0000-1C00-00000E000000}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 shapeId="0" xr:uid="{00000000-0006-0000-1C00-00000F000000}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 shapeId="0" xr:uid="{00000000-0006-0000-1C00-000010000000}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 shapeId="0" xr:uid="{00000000-0006-0000-1C00-000011000000}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 shapeId="0" xr:uid="{00000000-0006-0000-1C00-00001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 shapeId="0" xr:uid="{00000000-0006-0000-1C00-000013000000}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 shapeId="0" xr:uid="{00000000-0006-0000-1C00-000014000000}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 shapeId="0" xr:uid="{00000000-0006-0000-1C00-000015000000}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 shapeId="0" xr:uid="{00000000-0006-0000-1C00-000016000000}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 shapeId="0" xr:uid="{00000000-0006-0000-1C00-000017000000}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 shapeId="0" xr:uid="{00000000-0006-0000-1C00-000018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 shapeId="0" xr:uid="{00000000-0006-0000-1C00-000019000000}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 shapeId="0" xr:uid="{00000000-0006-0000-1C00-00001A000000}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 shapeId="0" xr:uid="{00000000-0006-0000-1C00-00001B000000}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 shapeId="0" xr:uid="{00000000-0006-0000-1C00-00001C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 shapeId="0" xr:uid="{00000000-0006-0000-1C00-00001D000000}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 shapeId="0" xr:uid="{00000000-0006-0000-1C00-00001E000000}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 shapeId="0" xr:uid="{00000000-0006-0000-1C00-00001F000000}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 shapeId="0" xr:uid="{00000000-0006-0000-1C00-000020000000}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 shapeId="0" xr:uid="{00000000-0006-0000-1C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C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C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C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C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fan</author>
  </authors>
  <commentList>
    <comment ref="V1" authorId="0" shapeId="0" xr:uid="{00000000-0006-0000-1D00-000001000000}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 shapeId="0" xr:uid="{00000000-0006-0000-1D00-000002000000}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 shapeId="0" xr:uid="{00000000-0006-0000-1D00-000003000000}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 shapeId="0" xr:uid="{00000000-0006-0000-1D00-000004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 shapeId="0" xr:uid="{00000000-0006-0000-1D00-000005000000}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 shapeId="0" xr:uid="{00000000-0006-0000-1D00-000006000000}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 shapeId="0" xr:uid="{00000000-0006-0000-1D00-000007000000}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 shapeId="0" xr:uid="{00000000-0006-0000-1D00-000008000000}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 shapeId="0" xr:uid="{00000000-0006-0000-1D00-000009000000}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 shapeId="0" xr:uid="{00000000-0006-0000-1D00-00000A000000}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 shapeId="0" xr:uid="{00000000-0006-0000-1D00-00000B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 shapeId="0" xr:uid="{00000000-0006-0000-1D00-00000C000000}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 shapeId="0" xr:uid="{00000000-0006-0000-1D00-00000D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 shapeId="0" xr:uid="{00000000-0006-0000-1D00-00000E000000}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 shapeId="0" xr:uid="{00000000-0006-0000-1D00-00000F000000}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 shapeId="0" xr:uid="{00000000-0006-0000-1D00-000010000000}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 shapeId="0" xr:uid="{00000000-0006-0000-1D00-000011000000}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 shapeId="0" xr:uid="{00000000-0006-0000-1D00-000012000000}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 shapeId="0" xr:uid="{00000000-0006-0000-1D00-000013000000}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 shapeId="0" xr:uid="{00000000-0006-0000-1D00-000014000000}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 shapeId="0" xr:uid="{00000000-0006-0000-1D00-000015000000}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 shapeId="0" xr:uid="{00000000-0006-0000-1D00-000016000000}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 shapeId="0" xr:uid="{00000000-0006-0000-1D00-000017000000}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 shapeId="0" xr:uid="{00000000-0006-0000-1D00-000018000000}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 shapeId="0" xr:uid="{00000000-0006-0000-1D00-000019000000}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 shapeId="0" xr:uid="{00000000-0006-0000-1D00-00001A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 shapeId="0" xr:uid="{00000000-0006-0000-1D00-00001B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 shapeId="0" xr:uid="{00000000-0006-0000-1D00-00001C000000}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 shapeId="0" xr:uid="{00000000-0006-0000-1D00-00001D000000}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 shapeId="0" xr:uid="{00000000-0006-0000-1D00-00001E000000}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 shapeId="0" xr:uid="{00000000-0006-0000-1D00-00001F000000}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 shapeId="0" xr:uid="{00000000-0006-0000-1D00-000020000000}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 shapeId="0" xr:uid="{00000000-0006-0000-1D00-000021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 shapeId="0" xr:uid="{00000000-0006-0000-1D00-000022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 shapeId="0" xr:uid="{00000000-0006-0000-1D00-000023000000}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 shapeId="0" xr:uid="{00000000-0006-0000-1D00-000024000000}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 shapeId="0" xr:uid="{00000000-0006-0000-1D00-000025000000}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 shapeId="0" xr:uid="{00000000-0006-0000-1D00-000026000000}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 shapeId="0" xr:uid="{00000000-0006-0000-1D00-000027000000}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 shapeId="0" xr:uid="{00000000-0006-0000-1D00-000028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 shapeId="0" xr:uid="{00000000-0006-0000-1D00-000029000000}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 shapeId="0" xr:uid="{00000000-0006-0000-1D00-00002A000000}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 shapeId="0" xr:uid="{00000000-0006-0000-1D00-00002B000000}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 shapeId="0" xr:uid="{00000000-0006-0000-1D00-00002C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 shapeId="0" xr:uid="{00000000-0006-0000-1D00-00002D000000}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 shapeId="0" xr:uid="{00000000-0006-0000-1D00-00002E000000}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 shapeId="0" xr:uid="{00000000-0006-0000-1D00-00002F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 shapeId="0" xr:uid="{00000000-0006-0000-1D00-000030000000}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 shapeId="0" xr:uid="{00000000-0006-0000-1D00-000031000000}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 shapeId="0" xr:uid="{00000000-0006-0000-1D00-000032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 shapeId="0" xr:uid="{00000000-0006-0000-1D00-000033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 shapeId="0" xr:uid="{00000000-0006-0000-1D00-000034000000}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 shapeId="0" xr:uid="{00000000-0006-0000-1D00-000035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 shapeId="0" xr:uid="{00000000-0006-0000-1D00-000036000000}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 shapeId="0" xr:uid="{00000000-0006-0000-1D00-000037000000}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 shapeId="0" xr:uid="{00000000-0006-0000-1D00-000038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 shapeId="0" xr:uid="{00000000-0006-0000-1D00-000039000000}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 shapeId="0" xr:uid="{00000000-0006-0000-1D00-00003A000000}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 shapeId="0" xr:uid="{00000000-0006-0000-1D00-00003B000000}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 shapeId="0" xr:uid="{00000000-0006-0000-1D00-00003C000000}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 shapeId="0" xr:uid="{00000000-0006-0000-1D00-00003D000000}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 shapeId="0" xr:uid="{00000000-0006-0000-1D00-00003E000000}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 shapeId="0" xr:uid="{00000000-0006-0000-1D00-00003F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 shapeId="0" xr:uid="{00000000-0006-0000-1D00-000040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 shapeId="0" xr:uid="{00000000-0006-0000-1D00-000041000000}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 shapeId="0" xr:uid="{00000000-0006-0000-1D00-00004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 shapeId="0" xr:uid="{00000000-0006-0000-1D00-000043000000}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 shapeId="0" xr:uid="{00000000-0006-0000-1D00-00004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 shapeId="0" xr:uid="{00000000-0006-0000-1D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 shapeId="0" xr:uid="{00000000-0006-0000-1D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 shapeId="0" xr:uid="{00000000-0006-0000-1D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 shapeId="0" xr:uid="{00000000-0006-0000-1D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I8" authorId="0" shapeId="0" xr:uid="{00000000-0006-0000-1F00-000002000000}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A9" authorId="0" shapeId="0" xr:uid="{00000000-0006-0000-1F00-000006000000}">
      <text>
        <r>
          <rPr>
            <sz val="9"/>
            <color indexed="81"/>
            <rFont val="Tahoma"/>
            <charset val="1"/>
          </rPr>
          <t>Promilleweg, Weinlehrpfad, Unterer Steinmauerweg (170 max), Steinbruch &amp; retour</t>
        </r>
      </text>
    </comment>
    <comment ref="E9" authorId="0" shapeId="0" xr:uid="{00000000-0006-0000-1F00-000004000000}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S10" authorId="0" shapeId="0" xr:uid="{00000000-0006-0000-1F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 shapeId="0" xr:uid="{00000000-0006-0000-1F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 shapeId="0" xr:uid="{00000000-0006-0000-1F00-000009000000}">
      <text>
        <r>
          <rPr>
            <sz val="9"/>
            <color indexed="81"/>
            <rFont val="Tahoma"/>
            <charset val="1"/>
          </rPr>
          <t>Ab Kolping</t>
        </r>
      </text>
    </comment>
    <comment ref="A13" authorId="0" shapeId="0" xr:uid="{00000000-0006-0000-1F00-00000B000000}">
      <text>
        <r>
          <rPr>
            <sz val="9"/>
            <color indexed="81"/>
            <rFont val="Tahoma"/>
            <charset val="1"/>
          </rPr>
          <t>Über Alter Friedhof, Wende</t>
        </r>
      </text>
    </comment>
    <comment ref="E13" authorId="1" shapeId="0" xr:uid="{00000000-0006-0000-1F00-00000A000000}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E15" authorId="0" shapeId="0" xr:uid="{00000000-0006-0000-1F00-00000C000000}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 shapeId="0" xr:uid="{00000000-0006-0000-1F00-00000D000000}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A16" authorId="0" shapeId="0" xr:uid="{00000000-0006-0000-1F00-00001C000000}">
      <text>
        <r>
          <rPr>
            <sz val="9"/>
            <color indexed="81"/>
            <rFont val="Tahoma"/>
            <charset val="1"/>
          </rPr>
          <t>So grün wie möglich: Holzbrücke bis Kasten</t>
        </r>
      </text>
    </comment>
    <comment ref="I16" authorId="0" shapeId="0" xr:uid="{00000000-0006-0000-1F00-00000E000000}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 shapeId="0" xr:uid="{00000000-0006-0000-1F00-00000F000000}">
      <text>
        <r>
          <rPr>
            <sz val="9"/>
            <color indexed="81"/>
            <rFont val="Tahoma"/>
            <charset val="1"/>
          </rPr>
          <t>Weilbach, Gotthardsweg &amp; Retour</t>
        </r>
      </text>
    </comment>
    <comment ref="E17" authorId="0" shapeId="0" xr:uid="{00000000-0006-0000-1F00-000010000000}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 shapeId="0" xr:uid="{00000000-0006-0000-1F00-000011000000}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 shapeId="0" xr:uid="{00000000-0006-0000-1F00-000012000000}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 shapeId="0" xr:uid="{00000000-0006-0000-1F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I18" authorId="1" shapeId="0" xr:uid="{00000000-0006-0000-1F00-000015000000}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 shapeId="0" xr:uid="{00000000-0006-0000-1F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 shapeId="0" xr:uid="{00000000-0006-0000-1F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 shapeId="0" xr:uid="{00000000-0006-0000-1F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Q19" authorId="0" shapeId="0" xr:uid="{00000000-0006-0000-1F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 shapeId="0" xr:uid="{00000000-0006-0000-1F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 shapeId="0" xr:uid="{00000000-0006-0000-1F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0" authorId="1" shapeId="0" xr:uid="{00000000-0006-0000-1F00-00001D000000}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 shapeId="0" xr:uid="{00000000-0006-0000-1F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 shapeId="0" xr:uid="{00000000-0006-0000-1F00-00001F000000}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 shapeId="0" xr:uid="{00000000-0006-0000-1F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A22" authorId="0" shapeId="0" xr:uid="{00000000-0006-0000-1F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2" authorId="1" shapeId="0" xr:uid="{00000000-0006-0000-1F00-000021000000}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E23" authorId="0" shapeId="0" xr:uid="{00000000-0006-0000-1F00-000023000000}">
      <text>
        <r>
          <rPr>
            <sz val="9"/>
            <color indexed="81"/>
            <rFont val="Tahoma"/>
            <charset val="1"/>
          </rPr>
          <t>Jogging-Runde</t>
        </r>
      </text>
    </comment>
    <comment ref="A24" authorId="0" shapeId="0" xr:uid="{00000000-0006-0000-1F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Q24" authorId="1" shapeId="0" xr:uid="{00000000-0006-0000-1F00-000024000000}">
      <text>
        <r>
          <rPr>
            <sz val="9"/>
            <color indexed="81"/>
            <rFont val="Tahoma"/>
            <charset val="1"/>
          </rPr>
          <t>216 max</t>
        </r>
      </text>
    </comment>
    <comment ref="E25" authorId="0" shapeId="0" xr:uid="{00000000-0006-0000-1F00-000026000000}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 shapeId="0" xr:uid="{00000000-0006-0000-1F00-000027000000}">
      <text>
        <r>
          <rPr>
            <sz val="9"/>
            <color indexed="81"/>
            <rFont val="Tahoma"/>
            <charset val="1"/>
          </rPr>
          <t>190 max</t>
        </r>
      </text>
    </comment>
    <comment ref="I26" authorId="0" shapeId="0" xr:uid="{00000000-0006-0000-1F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 shapeId="0" xr:uid="{00000000-0006-0000-1F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 shapeId="0" xr:uid="{00000000-0006-0000-1F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E27" authorId="0" shapeId="0" xr:uid="{00000000-0006-0000-1F00-00002B000000}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A28" authorId="0" shapeId="0" xr:uid="{00000000-0006-0000-1F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A29" authorId="0" shapeId="0" xr:uid="{00000000-0006-0000-1F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E29" authorId="0" shapeId="0" xr:uid="{00000000-0006-0000-1F00-00002C000000}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 shapeId="0" xr:uid="{00000000-0006-0000-1F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I30" authorId="0" shapeId="0" xr:uid="{00000000-0006-0000-1F00-00002E000000}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 shapeId="0" xr:uid="{00000000-0006-0000-1F00-00002F000000}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 shapeId="0" xr:uid="{00000000-0006-0000-1F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1" authorId="0" shapeId="0" xr:uid="{00000000-0006-0000-1F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1" shapeId="0" xr:uid="{00000000-0006-0000-1F00-00003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A34" authorId="0" shapeId="0" xr:uid="{00000000-0006-0000-1F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E34" authorId="0" shapeId="0" xr:uid="{00000000-0006-0000-1F00-000035000000}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 shapeId="0" xr:uid="{00000000-0006-0000-1F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0" shapeId="0" xr:uid="{00000000-0006-0000-1F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A36" authorId="0" shapeId="0" xr:uid="{00000000-0006-0000-1F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Q36" authorId="0" shapeId="0" xr:uid="{00000000-0006-0000-1F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 shapeId="0" xr:uid="{00000000-0006-0000-1F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Q37" authorId="0" shapeId="0" xr:uid="{00000000-0006-0000-1F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 shapeId="0" xr:uid="{00000000-0006-0000-1F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38" authorId="0" shapeId="0" xr:uid="{00000000-0006-0000-1F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 shapeId="0" xr:uid="{00000000-0006-0000-1F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E39" authorId="0" shapeId="0" xr:uid="{00000000-0006-0000-1F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 shapeId="0" xr:uid="{00000000-0006-0000-1F00-000040000000}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 shapeId="0" xr:uid="{00000000-0006-0000-1F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E41" authorId="0" shapeId="0" xr:uid="{00000000-0006-0000-1F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 shapeId="0" xr:uid="{00000000-0006-0000-1F00-000045000000}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 shapeId="0" xr:uid="{00000000-0006-0000-1F00-000046000000}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 shapeId="0" xr:uid="{00000000-0006-0000-1F00-000047000000}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 shapeId="0" xr:uid="{00000000-0006-0000-1F00-000048000000}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 shapeId="0" xr:uid="{00000000-0006-0000-1F00-000049000000}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 shapeId="0" xr:uid="{00000000-0006-0000-0200-000003000000}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 shapeId="0" xr:uid="{00000000-0006-0000-0200-000004000000}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 shapeId="0" xr:uid="{00000000-0006-0000-0200-000005000000}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 shapeId="0" xr:uid="{00000000-0006-0000-0200-000006000000}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 shapeId="0" xr:uid="{00000000-0006-0000-0200-000008000000}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 shapeId="0" xr:uid="{00000000-0006-0000-0200-00000B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 shapeId="0" xr:uid="{00000000-0006-0000-0200-00000E000000}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 shapeId="0" xr:uid="{00000000-0006-0000-0200-000010000000}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 shapeId="0" xr:uid="{00000000-0006-0000-0200-000013000000}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 shapeId="0" xr:uid="{00000000-0006-0000-0200-000014000000}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 shapeId="0" xr:uid="{00000000-0006-0000-0200-000015000000}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 shapeId="0" xr:uid="{00000000-0006-0000-0200-000017000000}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 shapeId="0" xr:uid="{00000000-0006-0000-0200-000018000000}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 shapeId="0" xr:uid="{00000000-0006-0000-0200-000019000000}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 shapeId="0" xr:uid="{00000000-0006-0000-0200-00001A000000}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 shapeId="0" xr:uid="{00000000-0006-0000-0200-00001B000000}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 shapeId="0" xr:uid="{00000000-0006-0000-0200-00001C000000}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 shapeId="0" xr:uid="{00000000-0006-0000-0200-00001D000000}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 shapeId="0" xr:uid="{00000000-0006-0000-0200-00001E000000}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 shapeId="0" xr:uid="{00000000-0006-0000-0200-00001F000000}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 shapeId="0" xr:uid="{00000000-0006-0000-0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 shapeId="0" xr:uid="{00000000-0006-0000-0200-000021000000}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 shapeId="0" xr:uid="{00000000-0006-0000-0200-000022000000}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 shapeId="0" xr:uid="{00000000-0006-0000-0200-000023000000}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 shapeId="0" xr:uid="{00000000-0006-0000-0200-000026000000}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 shapeId="0" xr:uid="{00000000-0006-0000-0200-000027000000}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 shapeId="0" xr:uid="{00000000-0006-0000-0200-000028000000}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 shapeId="0" xr:uid="{00000000-0006-0000-0200-000029000000}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 shapeId="0" xr:uid="{00000000-0006-0000-0200-00002B000000}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 shapeId="0" xr:uid="{00000000-0006-0000-0200-00002C000000}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 shapeId="0" xr:uid="{00000000-0006-0000-0200-00002D000000}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 shapeId="0" xr:uid="{00000000-0006-0000-0200-00002E000000}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 shapeId="0" xr:uid="{00000000-0006-0000-0200-000031000000}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 shapeId="0" xr:uid="{00000000-0006-0000-0200-000034000000}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 shapeId="0" xr:uid="{00000000-0006-0000-0200-000035000000}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 shapeId="0" xr:uid="{00000000-0006-0000-0300-000004000000}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 shapeId="0" xr:uid="{00000000-0006-0000-0300-000007000000}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 shapeId="0" xr:uid="{00000000-0006-0000-0300-000008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 shapeId="0" xr:uid="{00000000-0006-0000-03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 shapeId="0" xr:uid="{00000000-0006-0000-0300-00000A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 shapeId="0" xr:uid="{00000000-0006-0000-0300-00000C000000}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 shapeId="0" xr:uid="{00000000-0006-0000-0300-00000D000000}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 shapeId="0" xr:uid="{00000000-0006-0000-0300-00000E000000}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 shapeId="0" xr:uid="{00000000-0006-0000-03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 shapeId="0" xr:uid="{00000000-0006-0000-0300-000010000000}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 shapeId="0" xr:uid="{00000000-0006-0000-03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 shapeId="0" xr:uid="{00000000-0006-0000-0300-000012000000}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 shapeId="0" xr:uid="{00000000-0006-0000-0300-000014000000}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 shapeId="0" xr:uid="{00000000-0006-0000-0300-000016000000}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 shapeId="0" xr:uid="{00000000-0006-0000-0300-000017000000}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 shapeId="0" xr:uid="{00000000-0006-0000-0300-000018000000}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 shapeId="0" xr:uid="{00000000-0006-0000-03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 shapeId="0" xr:uid="{00000000-0006-0000-0300-00001A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 shapeId="0" xr:uid="{00000000-0006-0000-03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 shapeId="0" xr:uid="{00000000-0006-0000-0300-00001E000000}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 shapeId="0" xr:uid="{00000000-0006-0000-0300-00001F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 shapeId="0" xr:uid="{00000000-0006-0000-0300-000020000000}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 shapeId="0" xr:uid="{00000000-0006-0000-0300-000021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 shapeId="0" xr:uid="{00000000-0006-0000-0300-000022000000}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 shapeId="0" xr:uid="{00000000-0006-0000-0300-000024000000}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 shapeId="0" xr:uid="{00000000-0006-0000-0300-000025000000}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 shapeId="0" xr:uid="{00000000-0006-0000-03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 shapeId="0" xr:uid="{00000000-0006-0000-0300-000027000000}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 shapeId="0" xr:uid="{00000000-0006-0000-0300-000029000000}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 shapeId="0" xr:uid="{00000000-0006-0000-0300-00002A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 shapeId="0" xr:uid="{00000000-0006-0000-0300-00002B000000}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 shapeId="0" xr:uid="{00000000-0006-0000-03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 shapeId="0" xr:uid="{00000000-0006-0000-0300-00002D000000}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 shapeId="0" xr:uid="{00000000-0006-0000-0300-00002E000000}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 shapeId="0" xr:uid="{00000000-0006-0000-0300-000030000000}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 shapeId="0" xr:uid="{00000000-0006-0000-03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 shapeId="0" xr:uid="{00000000-0006-0000-0300-000032000000}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 shapeId="0" xr:uid="{00000000-0006-0000-0300-000033000000}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 shapeId="0" xr:uid="{00000000-0006-0000-03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 shapeId="0" xr:uid="{00000000-0006-0000-03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 shapeId="0" xr:uid="{00000000-0006-0000-0300-000036000000}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 shapeId="0" xr:uid="{00000000-0006-0000-0300-000037000000}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 shapeId="0" xr:uid="{00000000-0006-0000-0300-000038000000}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 shapeId="0" xr:uid="{00000000-0006-0000-0300-000039000000}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 shapeId="0" xr:uid="{00000000-0006-0000-0300-00003A000000}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 shapeId="0" xr:uid="{00000000-0006-0000-0300-00003B000000}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 shapeId="0" xr:uid="{00000000-0006-0000-0300-00003C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 shapeId="0" xr:uid="{00000000-0006-0000-0300-00003D000000}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 shapeId="0" xr:uid="{00000000-0006-0000-0300-00003E000000}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 shapeId="0" xr:uid="{00000000-0006-0000-0300-00003F000000}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 shapeId="0" xr:uid="{00000000-0006-0000-0300-000040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 shapeId="0" xr:uid="{00000000-0006-0000-0300-000041000000}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 shapeId="0" xr:uid="{00000000-0006-0000-0300-000042000000}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 shapeId="0" xr:uid="{00000000-0006-0000-0300-000043000000}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 shapeId="0" xr:uid="{00000000-0006-0000-03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 shapeId="0" xr:uid="{00000000-0006-0000-0300-000045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
Sa. 2021-06-20 08:00 - 10:02 24 - 25 °C Schleierwolken, Wind</t>
        </r>
      </text>
    </comment>
    <comment ref="F48" authorId="1" shapeId="0" xr:uid="{00000000-0006-0000-0300-000046000000}">
      <text>
        <r>
          <rPr>
            <sz val="9"/>
            <color indexed="81"/>
            <rFont val="Tahoma"/>
            <family val="2"/>
          </rPr>
          <t>Buchen erste Kreuzung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 shapeId="0" xr:uid="{00000000-0006-0000-0400-000005000000}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 shapeId="0" xr:uid="{00000000-0006-0000-0400-000007000000}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 shapeId="0" xr:uid="{00000000-0006-0000-0400-000008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 shapeId="0" xr:uid="{00000000-0006-0000-0400-000009000000}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 shapeId="0" xr:uid="{00000000-0006-0000-0400-00000B000000}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 shapeId="0" xr:uid="{00000000-0006-0000-0400-00000C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 shapeId="0" xr:uid="{00000000-0006-0000-0400-00000D000000}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 shapeId="0" xr:uid="{00000000-0006-0000-0400-00000F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 shapeId="0" xr:uid="{00000000-0006-0000-0400-000010000000}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 shapeId="0" xr:uid="{00000000-0006-0000-0400-000012000000}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 shapeId="0" xr:uid="{00000000-0006-0000-0400-000014000000}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 shapeId="0" xr:uid="{00000000-0006-0000-04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 shapeId="0" xr:uid="{00000000-0006-0000-0400-000016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 shapeId="0" xr:uid="{00000000-0006-0000-0400-000018000000}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 shapeId="0" xr:uid="{00000000-0006-0000-04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 shapeId="0" xr:uid="{00000000-0006-0000-04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 shapeId="0" xr:uid="{00000000-0006-0000-0400-00001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 shapeId="0" xr:uid="{00000000-0006-0000-0400-00001C000000}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 shapeId="0" xr:uid="{00000000-0006-0000-0400-00001E000000}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 shapeId="0" xr:uid="{00000000-0006-0000-0400-00001F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 shapeId="0" xr:uid="{00000000-0006-0000-0400-000022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 shapeId="0" xr:uid="{00000000-0006-0000-0400-000025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 shapeId="0" xr:uid="{00000000-0006-0000-0400-000026000000}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 shapeId="0" xr:uid="{00000000-0006-0000-0400-00002A000000}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 shapeId="0" xr:uid="{00000000-0006-0000-0400-00002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 shapeId="0" xr:uid="{00000000-0006-0000-0400-00002D000000}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 shapeId="0" xr:uid="{00000000-0006-0000-0400-00003A000000}">
      <text>
        <r>
          <rPr>
            <b/>
            <u/>
            <sz val="9"/>
            <color indexed="81"/>
            <rFont val="Tahoma"/>
            <family val="2"/>
          </rPr>
          <t>Rund um Waldleiningen</t>
        </r>
        <r>
          <rPr>
            <sz val="9"/>
            <color indexed="81"/>
            <rFont val="Tahoma"/>
            <family val="2"/>
          </rPr>
          <t xml:space="preserve">
Weilbach, Amorbach, Kirchzell, Ottorfszell, Ernsttal, Seizenbuche (460), Kolli (500),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
</t>
        </r>
        <r>
          <rPr>
            <sz val="8"/>
            <color indexed="81"/>
            <rFont val="Tahoma"/>
            <family val="2"/>
          </rPr>
          <t>So. 2021-05-30 6:00 - 8:45; 6 - 14 °C; Sonnig; Wind</t>
        </r>
      </text>
    </comment>
    <comment ref="F20" authorId="0" shapeId="0" xr:uid="{00000000-0006-0000-04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0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1" authorId="1" shapeId="0" xr:uid="{00000000-0006-0000-0400-000030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1" authorId="1" shapeId="0" xr:uid="{00000000-0006-0000-04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2" authorId="0" shapeId="0" xr:uid="{00000000-0006-0000-0400-000032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2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2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3" authorId="0" shapeId="0" xr:uid="{00000000-0006-0000-0400-000035000000}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3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3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4" authorId="0" shapeId="0" xr:uid="{00000000-0006-0000-0400-000038000000}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4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5" authorId="1" shapeId="0" xr:uid="{00000000-0006-0000-0400-00003D000000}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 shapeId="0" xr:uid="{00000000-0006-0000-0400-00003E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 shapeId="0" xr:uid="{00000000-0006-0000-04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 shapeId="0" xr:uid="{00000000-0006-0000-04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 shapeId="0" xr:uid="{00000000-0006-0000-0400-000041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 shapeId="0" xr:uid="{00000000-0006-0000-0400-000042000000}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 shapeId="0" xr:uid="{00000000-0006-0000-04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 shapeId="0" xr:uid="{00000000-0006-0000-04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 shapeId="0" xr:uid="{00000000-0006-0000-0400-000045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 shapeId="0" xr:uid="{00000000-0006-0000-04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 shapeId="0" xr:uid="{00000000-0006-0000-04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 shapeId="0" xr:uid="{00000000-0006-0000-0400-000048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 shapeId="0" xr:uid="{00000000-0006-0000-04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 shapeId="0" xr:uid="{00000000-0006-0000-04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 shapeId="0" xr:uid="{00000000-0006-0000-0400-00004B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 shapeId="0" xr:uid="{00000000-0006-0000-04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 shapeId="0" xr:uid="{00000000-0006-0000-0400-00004D000000}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 shapeId="0" xr:uid="{00000000-0006-0000-0400-00004E000000}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 shapeId="0" xr:uid="{00000000-0006-0000-0400-00004F000000}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 shapeId="0" xr:uid="{00000000-0006-0000-0400-000050000000}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 shapeId="0" xr:uid="{00000000-0006-0000-04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 shapeId="0" xr:uid="{00000000-0006-0000-0400-000052000000}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 shapeId="0" xr:uid="{00000000-0006-0000-0400-000053000000}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 shapeId="0" xr:uid="{00000000-0006-0000-0400-000056000000}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 shapeId="0" xr:uid="{00000000-0006-0000-04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 shapeId="0" xr:uid="{00000000-0006-0000-0400-000058000000}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 shapeId="0" xr:uid="{00000000-0006-0000-0400-00005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 shapeId="0" xr:uid="{00000000-0006-0000-0400-00005A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 shapeId="0" xr:uid="{00000000-0006-0000-0400-00005C000000}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 shapeId="0" xr:uid="{00000000-0006-0000-04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 shapeId="0" xr:uid="{00000000-0006-0000-04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 shapeId="0" xr:uid="{00000000-0006-0000-0400-000060000000}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 shapeId="0" xr:uid="{00000000-0006-0000-0400-00006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 shapeId="0" xr:uid="{00000000-0006-0000-0400-000063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 shapeId="0" xr:uid="{00000000-0006-0000-0400-00006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 shapeId="0" xr:uid="{00000000-0006-0000-0400-00006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 shapeId="0" xr:uid="{00000000-0006-0000-0400-000066000000}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 shapeId="0" xr:uid="{00000000-0006-0000-0400-000068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 shapeId="0" xr:uid="{00000000-0006-0000-0400-000069000000}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 shapeId="0" xr:uid="{00000000-0006-0000-0400-00006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 shapeId="0" xr:uid="{00000000-0006-0000-0400-00006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 shapeId="0" xr:uid="{00000000-0006-0000-0400-00006C000000}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 shapeId="0" xr:uid="{00000000-0006-0000-0400-00006D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 shapeId="0" xr:uid="{00000000-0006-0000-0400-00006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 shapeId="0" xr:uid="{00000000-0006-0000-0400-00006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 shapeId="0" xr:uid="{00000000-0006-0000-0400-000070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 shapeId="0" xr:uid="{00000000-0006-0000-0400-000073000000}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 shapeId="0" xr:uid="{00000000-0006-0000-0400-000077000000}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500-000009000000}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 shapeId="0" xr:uid="{00000000-0006-0000-0500-00000C000000}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 shapeId="0" xr:uid="{00000000-0006-0000-05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 shapeId="0" xr:uid="{00000000-0006-0000-0500-000010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 shapeId="0" xr:uid="{00000000-0006-0000-0500-000014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 shapeId="0" xr:uid="{00000000-0006-0000-0500-000016000000}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 shapeId="0" xr:uid="{00000000-0006-0000-0500-000019000000}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 shapeId="0" xr:uid="{00000000-0006-0000-05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 shapeId="0" xr:uid="{00000000-0006-0000-0500-00001C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 shapeId="0" xr:uid="{00000000-0006-0000-0500-00001F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 shapeId="0" xr:uid="{00000000-0006-0000-05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 shapeId="0" xr:uid="{00000000-0006-0000-05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 shapeId="0" xr:uid="{00000000-0006-0000-0500-000023000000}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 shapeId="0" xr:uid="{00000000-0006-0000-05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 shapeId="0" xr:uid="{00000000-0006-0000-0500-000027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 shapeId="0" xr:uid="{00000000-0006-0000-05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 shapeId="0" xr:uid="{00000000-0006-0000-0500-000029000000}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 shapeId="0" xr:uid="{00000000-0006-0000-05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 shapeId="0" xr:uid="{00000000-0006-0000-05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 shapeId="0" xr:uid="{00000000-0006-0000-0500-00002C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 shapeId="0" xr:uid="{00000000-0006-0000-05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 shapeId="0" xr:uid="{00000000-0006-0000-0500-00002F000000}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 shapeId="0" xr:uid="{00000000-0006-0000-05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 shapeId="0" xr:uid="{00000000-0006-0000-05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 shapeId="0" xr:uid="{00000000-0006-0000-0500-000032000000}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 shapeId="0" xr:uid="{00000000-0006-0000-05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 shapeId="0" xr:uid="{00000000-0006-0000-0500-000035000000}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 shapeId="0" xr:uid="{00000000-0006-0000-05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 shapeId="0" xr:uid="{00000000-0006-0000-0500-000038000000}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 shapeId="0" xr:uid="{00000000-0006-0000-0500-000039000000}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 shapeId="0" xr:uid="{00000000-0006-0000-05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 shapeId="0" xr:uid="{00000000-0006-0000-05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 shapeId="0" xr:uid="{00000000-0006-0000-0500-00003C000000}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 shapeId="0" xr:uid="{00000000-0006-0000-05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 shapeId="0" xr:uid="{00000000-0006-0000-0500-00003E000000}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 shapeId="0" xr:uid="{00000000-0006-0000-0500-00003F000000}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 shapeId="0" xr:uid="{00000000-0006-0000-05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 shapeId="0" xr:uid="{00000000-0006-0000-05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 shapeId="0" xr:uid="{00000000-0006-0000-0500-000042000000}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 shapeId="0" xr:uid="{00000000-0006-0000-0500-00004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 shapeId="0" xr:uid="{00000000-0006-0000-05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 shapeId="0" xr:uid="{00000000-0006-0000-0500-000045000000}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 shapeId="0" xr:uid="{00000000-0006-0000-0500-000046000000}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600-000009000000}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 shapeId="0" xr:uid="{00000000-0006-0000-0600-00000C000000}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 shapeId="0" xr:uid="{00000000-0006-0000-0600-00000F000000}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 shapeId="0" xr:uid="{00000000-0006-0000-0600-000013000000}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 shapeId="0" xr:uid="{00000000-0006-0000-0600-000016000000}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 shapeId="0" xr:uid="{00000000-0006-0000-06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 shapeId="0" xr:uid="{00000000-0006-0000-06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 shapeId="0" xr:uid="{00000000-0006-0000-0600-00001A000000}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 shapeId="0" xr:uid="{00000000-0006-0000-06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 shapeId="0" xr:uid="{00000000-0006-0000-0600-00001D000000}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 shapeId="0" xr:uid="{00000000-0006-0000-06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 shapeId="0" xr:uid="{00000000-0006-0000-0600-000020000000}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 shapeId="0" xr:uid="{00000000-0006-0000-06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 shapeId="0" xr:uid="{00000000-0006-0000-06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 shapeId="0" xr:uid="{00000000-0006-0000-0600-000023000000}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 shapeId="0" xr:uid="{00000000-0006-0000-06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 shapeId="0" xr:uid="{00000000-0006-0000-06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 shapeId="0" xr:uid="{00000000-0006-0000-06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 shapeId="0" xr:uid="{00000000-0006-0000-0600-000027000000}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 shapeId="0" xr:uid="{00000000-0006-0000-06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 shapeId="0" xr:uid="{00000000-0006-0000-0600-00002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 shapeId="0" xr:uid="{00000000-0006-0000-0600-00002B000000}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 shapeId="0" xr:uid="{00000000-0006-0000-06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 shapeId="0" xr:uid="{00000000-0006-0000-06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 shapeId="0" xr:uid="{00000000-0006-0000-06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 shapeId="0" xr:uid="{00000000-0006-0000-0600-00002F000000}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 shapeId="0" xr:uid="{00000000-0006-0000-06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 shapeId="0" xr:uid="{00000000-0006-0000-06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 shapeId="0" xr:uid="{00000000-0006-0000-0600-000032000000}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 shapeId="0" xr:uid="{00000000-0006-0000-0600-000035000000}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 shapeId="0" xr:uid="{00000000-0006-0000-06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 shapeId="0" xr:uid="{00000000-0006-0000-0600-000038000000}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 shapeId="0" xr:uid="{00000000-0006-0000-0600-00003B000000}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 shapeId="0" xr:uid="{00000000-0006-0000-06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 shapeId="0" xr:uid="{00000000-0006-0000-0600-00003E000000}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 shapeId="0" xr:uid="{00000000-0006-0000-06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 shapeId="0" xr:uid="{00000000-0006-0000-06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 shapeId="0" xr:uid="{00000000-0006-0000-0600-000041000000}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 shapeId="0" xr:uid="{00000000-0006-0000-06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 shapeId="0" xr:uid="{00000000-0006-0000-0600-000044000000}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[437 Hm Differenz]</t>
        </r>
        <r>
          <rPr>
            <sz val="9"/>
            <color indexed="81"/>
            <rFont val="Tahoma"/>
            <family val="2"/>
          </rPr>
          <t xml:space="preserve">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 shapeId="0" xr:uid="{00000000-0006-0000-06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 shapeId="0" xr:uid="{00000000-0006-0000-0600-000046000000}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 shapeId="0" xr:uid="{00000000-0006-0000-06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 shapeId="0" xr:uid="{00000000-0006-0000-0600-000049000000}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 shapeId="0" xr:uid="{00000000-0006-0000-06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 shapeId="0" xr:uid="{00000000-0006-0000-0600-00004C000000}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 shapeId="0" xr:uid="{00000000-0006-0000-0600-00004F000000}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 shapeId="0" xr:uid="{00000000-0006-0000-0600-000050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 shapeId="0" xr:uid="{00000000-0006-0000-0600-000051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 shapeId="0" xr:uid="{00000000-0006-0000-0600-000052000000}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 shapeId="0" xr:uid="{00000000-0006-0000-0600-000053000000}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 shapeId="0" xr:uid="{00000000-0006-0000-06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 shapeId="0" xr:uid="{00000000-0006-0000-06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 shapeId="0" xr:uid="{00000000-0006-0000-0600-000056000000}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 shapeId="0" xr:uid="{00000000-0006-0000-06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 shapeId="0" xr:uid="{00000000-0006-0000-06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 shapeId="0" xr:uid="{00000000-0006-0000-0600-000059000000}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 shapeId="0" xr:uid="{00000000-0006-0000-06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 shapeId="0" xr:uid="{00000000-0006-0000-06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 shapeId="0" xr:uid="{00000000-0006-0000-0600-00005C000000}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 shapeId="0" xr:uid="{00000000-0006-0000-06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 shapeId="0" xr:uid="{00000000-0006-0000-06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700-000009000000}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 shapeId="0" xr:uid="{00000000-0006-0000-0700-00000C000000}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 shapeId="0" xr:uid="{00000000-0006-0000-0700-00000F000000}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 shapeId="0" xr:uid="{00000000-0006-0000-07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 shapeId="0" xr:uid="{00000000-0006-0000-0700-000012000000}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 shapeId="0" xr:uid="{00000000-0006-0000-07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 shapeId="0" xr:uid="{00000000-0006-0000-07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 shapeId="0" xr:uid="{00000000-0006-0000-0700-000015000000}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 shapeId="0" xr:uid="{00000000-0006-0000-07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 shapeId="0" xr:uid="{00000000-0006-0000-0700-000018000000}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 shapeId="0" xr:uid="{00000000-0006-0000-0700-00001B000000}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H1" authorId="0" shapeId="0" xr:uid="{00000000-0006-0000-0800-000001000000}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 shapeId="0" xr:uid="{6CD5D5C5-4014-4065-B2EA-39A1DC195ABF}">
      <text>
        <r>
          <rPr>
            <sz val="9"/>
            <color indexed="81"/>
            <rFont val="Tahoma"/>
            <family val="2"/>
          </rPr>
          <t>Breitendiel, Weilbach, Weichtal, Mainbullau (ohne Ortsberührung), Straße ab</t>
        </r>
      </text>
    </comment>
    <comment ref="A3" authorId="1" shapeId="0" xr:uid="{00000000-0006-0000-0800-000004000000}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4" authorId="1" shapeId="0" xr:uid="{00000000-0006-0000-0800-000006000000}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  <comment ref="A5" authorId="1" shapeId="0" xr:uid="{00000000-0006-0000-0800-000002000000}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6" authorId="1" shapeId="0" xr:uid="{00000000-0006-0000-0800-000003000000}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7" authorId="1" shapeId="0" xr:uid="{00000000-0006-0000-0800-000005000000}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</commentList>
</comments>
</file>

<file path=xl/sharedStrings.xml><?xml version="1.0" encoding="utf-8"?>
<sst xmlns="http://schemas.openxmlformats.org/spreadsheetml/2006/main" count="2919" uniqueCount="952">
  <si>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</si>
  <si>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</si>
  <si>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</si>
  <si>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</si>
  <si>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</si>
  <si>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</si>
  <si>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</si>
  <si>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</si>
  <si>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</si>
  <si>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</si>
  <si>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</si>
  <si>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</si>
  <si>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</si>
  <si>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</si>
  <si>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</si>
  <si>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</si>
  <si>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</si>
  <si>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</si>
  <si>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</si>
  <si>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</si>
  <si>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</si>
  <si>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Springerquelle * 2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</si>
  <si>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</si>
  <si>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</si>
  <si>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</si>
  <si>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</si>
  <si>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</si>
  <si>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</si>
  <si>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</si>
  <si>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</si>
  <si>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</si>
  <si>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</si>
  <si>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</si>
  <si>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</si>
  <si>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</si>
  <si>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</si>
  <si>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</si>
  <si>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</si>
  <si>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</si>
  <si>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</si>
  <si>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</si>
  <si>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</si>
  <si>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</si>
  <si>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</si>
  <si>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</si>
  <si>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</si>
  <si>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</si>
  <si>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</si>
  <si>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</si>
  <si>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</si>
  <si>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</si>
  <si>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</si>
  <si>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</si>
  <si>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</si>
  <si>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</si>
  <si>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</si>
  <si>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</si>
  <si>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</si>
  <si>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</si>
  <si>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</si>
  <si>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</si>
  <si>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</si>
  <si>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</si>
  <si>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</si>
  <si>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</si>
  <si>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</si>
  <si>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</si>
  <si>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</si>
  <si>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</si>
  <si>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</si>
  <si>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</si>
  <si>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</si>
  <si>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Springerquelle * 3</t>
  </si>
  <si>
    <t>Mainbullau * 4</t>
  </si>
  <si>
    <t>Mainbullau * 3</t>
  </si>
  <si>
    <t>Mainbullau * 2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</si>
  <si>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</si>
  <si>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</si>
  <si>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</si>
  <si>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</si>
  <si>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</si>
  <si>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</si>
  <si>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</si>
  <si>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</si>
  <si>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</si>
  <si>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</si>
  <si>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</si>
  <si>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</si>
  <si>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</si>
  <si>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</si>
  <si>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</si>
  <si>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</si>
  <si>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</si>
  <si>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</si>
  <si>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</si>
  <si>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</si>
  <si>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</si>
  <si>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</si>
  <si>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</si>
  <si>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</si>
  <si>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</si>
  <si>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</si>
  <si>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</si>
  <si>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</si>
  <si>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</si>
  <si>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</si>
  <si>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</si>
  <si>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</si>
  <si>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</si>
  <si>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</si>
  <si>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</si>
  <si>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</si>
  <si>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</si>
  <si>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</si>
  <si>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</si>
  <si>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</si>
  <si>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</si>
  <si>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</si>
  <si>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</si>
  <si>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</si>
  <si>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</si>
  <si>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</si>
  <si>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</si>
  <si>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</si>
  <si>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</si>
  <si>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</si>
  <si>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</si>
  <si>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</si>
  <si>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</si>
  <si>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</si>
  <si>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</si>
  <si>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</si>
  <si>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</si>
  <si>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</si>
  <si>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</si>
  <si>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</si>
  <si>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</si>
  <si>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</si>
  <si>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</si>
  <si>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</si>
  <si>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</si>
  <si>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</si>
  <si>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</si>
  <si>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</si>
  <si>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</si>
  <si>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</si>
  <si>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</si>
  <si>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</si>
  <si>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</si>
  <si>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</si>
  <si>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</si>
  <si>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</si>
  <si>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</si>
  <si>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</si>
  <si>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</si>
  <si>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</si>
  <si>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</si>
  <si>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</si>
  <si>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</si>
  <si>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</si>
  <si>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</si>
  <si>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</si>
  <si>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</si>
  <si>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</si>
  <si>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</si>
  <si>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</si>
  <si>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</si>
  <si>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</si>
  <si>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</si>
  <si>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</si>
  <si>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</si>
  <si>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</si>
  <si>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</si>
  <si>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</si>
  <si>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</si>
  <si>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</si>
  <si>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</si>
  <si>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</si>
  <si>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</si>
  <si>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</si>
  <si>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</si>
  <si>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</si>
  <si>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</si>
  <si>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</si>
  <si>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</si>
  <si>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</si>
  <si>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</si>
  <si>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Springerquelle * 4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</si>
  <si>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</si>
  <si>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</si>
  <si>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</si>
  <si>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</si>
  <si>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</si>
  <si>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</si>
  <si>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</si>
  <si>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</si>
  <si>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</si>
  <si>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</si>
  <si>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</si>
  <si>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</si>
  <si>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</si>
  <si>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</si>
  <si>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</si>
  <si>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</si>
  <si>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</si>
  <si>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</si>
  <si>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</si>
  <si>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</si>
  <si>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</si>
  <si>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</si>
  <si>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</si>
  <si>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</si>
  <si>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</si>
  <si>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</si>
  <si>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</si>
  <si>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</si>
  <si>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</si>
  <si>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</si>
  <si>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</si>
  <si>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</si>
  <si>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</si>
  <si>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</si>
  <si>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</si>
  <si>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</si>
  <si>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</si>
  <si>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</si>
  <si>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</si>
  <si>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</si>
  <si>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</si>
  <si>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Springerquelle * 1</t>
  </si>
  <si>
    <t>Mainbullau * 1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</si>
  <si>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</si>
  <si>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</si>
  <si>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</si>
  <si>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</si>
  <si>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</si>
  <si>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</si>
  <si>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</si>
  <si>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</si>
  <si>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</si>
  <si>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</si>
  <si>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</si>
  <si>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</si>
  <si>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</si>
  <si>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</si>
  <si>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</si>
  <si>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</si>
  <si>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</si>
  <si>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</si>
  <si>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</si>
  <si>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</si>
  <si>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</si>
  <si>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</si>
  <si>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</si>
  <si>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Springerquelle * 5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</si>
  <si>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</si>
  <si>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</si>
  <si>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</si>
  <si>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</si>
  <si>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</si>
  <si>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</si>
  <si>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</si>
  <si>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</si>
  <si>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</si>
  <si>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</si>
  <si>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</si>
  <si>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</si>
  <si>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</si>
  <si>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</si>
  <si>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</si>
  <si>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</si>
  <si>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</si>
  <si>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</si>
  <si>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</si>
  <si>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</si>
  <si>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</si>
  <si>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</si>
  <si>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</si>
  <si>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</si>
  <si>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</si>
  <si>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</si>
  <si>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</si>
  <si>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</si>
  <si>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</si>
  <si>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</si>
  <si>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</si>
  <si>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</si>
  <si>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</si>
  <si>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</si>
  <si>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</si>
  <si>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</si>
  <si>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</si>
  <si>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</si>
  <si>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</si>
  <si>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</si>
  <si>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</si>
  <si>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</si>
  <si>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Promilleweg-Auweg * 3</t>
  </si>
  <si>
    <t>Promilleweg-Auweg * 1</t>
  </si>
  <si>
    <t>Promilleweg-Auweg * 2</t>
  </si>
  <si>
    <t>Bischofsberg</t>
  </si>
  <si>
    <t>Königsstuhlblick</t>
  </si>
  <si>
    <t>Promilleweg-Auweg * 4</t>
  </si>
  <si>
    <t>Chefsache Odenwald</t>
  </si>
  <si>
    <t>Optimale Tageslichtausnutzung</t>
  </si>
  <si>
    <t>theo Höhe</t>
  </si>
  <si>
    <t>Entspricht</t>
  </si>
  <si>
    <t>Breitenbrunn Hessen</t>
  </si>
  <si>
    <t>Promilleweg-Auweg * 5</t>
  </si>
  <si>
    <t>Mainbullau * 6</t>
  </si>
  <si>
    <t>Promilleweg-Auweg * 6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</si>
  <si>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</si>
  <si>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</si>
  <si>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</si>
  <si>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</si>
  <si>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</si>
  <si>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</si>
  <si>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</si>
  <si>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</si>
  <si>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</si>
  <si>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</si>
  <si>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</si>
  <si>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</si>
  <si>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</si>
  <si>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</si>
  <si>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</si>
  <si>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</si>
  <si>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</si>
  <si>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</si>
  <si>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</si>
  <si>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</si>
  <si>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</si>
  <si>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</si>
  <si>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</si>
  <si>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</si>
  <si>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</si>
  <si>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</si>
  <si>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</si>
  <si>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</si>
  <si>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</si>
  <si>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</si>
  <si>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</si>
  <si>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</si>
  <si>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</si>
  <si>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</si>
  <si>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</si>
  <si>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</si>
  <si>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</si>
  <si>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</si>
  <si>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</si>
  <si>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</si>
  <si>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</si>
  <si>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</si>
  <si>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</si>
  <si>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</si>
  <si>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</si>
  <si>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</si>
  <si>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</si>
  <si>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</si>
  <si>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</si>
  <si>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</si>
  <si>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</si>
  <si>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</si>
  <si>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</si>
  <si>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</si>
  <si>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</si>
  <si>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</si>
  <si>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</si>
  <si>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</si>
  <si>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</si>
  <si>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</si>
  <si>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</si>
  <si>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</si>
  <si>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</si>
  <si>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</si>
  <si>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</si>
  <si>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</si>
  <si>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</si>
  <si>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</si>
  <si>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</si>
  <si>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</si>
  <si>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</si>
  <si>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</si>
  <si>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</si>
  <si>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</si>
  <si>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</si>
  <si>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</si>
  <si>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</si>
  <si>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</si>
  <si>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</si>
  <si>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</si>
  <si>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</si>
  <si>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Mainbullau * 7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</si>
  <si>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</si>
  <si>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</si>
  <si>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</si>
  <si>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</si>
  <si>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</si>
  <si>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</si>
  <si>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</si>
  <si>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</si>
  <si>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</si>
  <si>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</si>
  <si>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</si>
  <si>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</si>
  <si>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</si>
  <si>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</si>
  <si>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</si>
  <si>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</si>
  <si>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</si>
  <si>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</si>
  <si>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</si>
  <si>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</si>
  <si>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</si>
  <si>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</si>
  <si>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</si>
  <si>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</si>
  <si>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</si>
  <si>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</si>
  <si>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</si>
  <si>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Laudenbach-Bremhof * 1</t>
  </si>
  <si>
    <t>Laudenbach-Bremhof * 2</t>
  </si>
  <si>
    <t>Engelberg * 1</t>
  </si>
  <si>
    <t>Engelberg * 2</t>
  </si>
  <si>
    <t>Engelberg * 3</t>
  </si>
  <si>
    <t>Furkajoch</t>
  </si>
  <si>
    <t>Scheuerbusch Höllenritt</t>
  </si>
  <si>
    <t>Ruhe</t>
  </si>
  <si>
    <t>Spessartstar</t>
  </si>
  <si>
    <t>Promilleweg-Auweg * 7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</si>
  <si>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</si>
  <si>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</si>
  <si>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</si>
  <si>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</si>
  <si>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</si>
  <si>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</si>
  <si>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</si>
  <si>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</si>
  <si>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</si>
  <si>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</si>
  <si>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</si>
  <si>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</si>
  <si>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</si>
  <si>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</si>
  <si>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</si>
  <si>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</si>
  <si>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</si>
  <si>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</si>
  <si>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</si>
  <si>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</si>
  <si>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</si>
  <si>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</si>
  <si>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</si>
  <si>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</si>
  <si>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</si>
  <si>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</si>
  <si>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Promilleweg-Auweg * 8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</si>
  <si>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</si>
  <si>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</si>
  <si>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</si>
  <si>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</si>
  <si>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</si>
  <si>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</si>
  <si>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</si>
  <si>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</si>
  <si>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</si>
  <si>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</si>
  <si>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</si>
  <si>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</si>
  <si>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</si>
  <si>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</si>
  <si>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</si>
  <si>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</si>
  <si>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</si>
  <si>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</si>
  <si>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</si>
  <si>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</si>
  <si>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</si>
  <si>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</si>
  <si>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</si>
  <si>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</si>
  <si>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</si>
  <si>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</si>
  <si>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</si>
  <si>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</si>
  <si>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</si>
  <si>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</si>
  <si>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</si>
  <si>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</si>
  <si>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</si>
  <si>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</si>
  <si>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</si>
  <si>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</si>
  <si>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</si>
  <si>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</si>
  <si>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</si>
  <si>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</si>
  <si>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</si>
  <si>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</si>
  <si>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</si>
  <si>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</si>
  <si>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</si>
  <si>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</si>
  <si>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</si>
  <si>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</si>
  <si>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</si>
  <si>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</si>
  <si>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</si>
  <si>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</si>
  <si>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</si>
  <si>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</si>
  <si>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</si>
  <si>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</si>
  <si>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</si>
  <si>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</si>
  <si>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</si>
  <si>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</si>
  <si>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</si>
  <si>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</si>
  <si>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</si>
  <si>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</si>
  <si>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</si>
  <si>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</si>
  <si>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</si>
  <si>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</si>
  <si>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</si>
  <si>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</si>
  <si>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</si>
  <si>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</si>
  <si>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</si>
  <si>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</si>
  <si>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</si>
  <si>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</si>
  <si>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</si>
  <si>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</si>
  <si>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4</t>
  </si>
  <si>
    <t>Nato * 3</t>
  </si>
  <si>
    <t>Nato * 2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</si>
  <si>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</si>
  <si>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</si>
  <si>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</si>
  <si>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</si>
  <si>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</si>
  <si>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</si>
  <si>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</si>
  <si>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</si>
  <si>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</si>
  <si>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</si>
  <si>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</si>
  <si>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</si>
  <si>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</si>
  <si>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</si>
  <si>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</si>
  <si>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</si>
  <si>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</si>
  <si>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</si>
  <si>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</si>
  <si>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</si>
  <si>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</si>
  <si>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</si>
  <si>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</si>
  <si>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</si>
  <si>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</si>
  <si>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</si>
  <si>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</si>
  <si>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</si>
  <si>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</si>
  <si>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</si>
  <si>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</si>
  <si>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</si>
  <si>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</si>
  <si>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</si>
  <si>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</si>
  <si>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</si>
  <si>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</si>
  <si>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</si>
  <si>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</si>
  <si>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</si>
  <si>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</si>
  <si>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</si>
  <si>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</si>
  <si>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</si>
  <si>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</si>
  <si>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</si>
  <si>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</si>
  <si>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</si>
  <si>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</si>
  <si>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</si>
  <si>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</si>
  <si>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</si>
  <si>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</si>
  <si>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</si>
  <si>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</si>
  <si>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</si>
  <si>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</si>
  <si>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</si>
  <si>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</si>
  <si>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</si>
  <si>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</si>
  <si>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</si>
  <si>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</si>
  <si>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</si>
  <si>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</si>
  <si>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</si>
  <si>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</si>
  <si>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</si>
  <si>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</si>
  <si>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</si>
  <si>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</si>
  <si>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</si>
  <si>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</si>
  <si>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</si>
  <si>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</si>
  <si>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</si>
  <si>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</si>
  <si>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</si>
  <si>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</si>
  <si>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</si>
  <si>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</si>
  <si>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</si>
  <si>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</si>
  <si>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</si>
  <si>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</si>
  <si>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</si>
  <si>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</si>
  <si>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</si>
  <si>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</si>
  <si>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</si>
  <si>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</si>
  <si>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</si>
  <si>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</si>
  <si>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</si>
  <si>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</si>
  <si>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</si>
  <si>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</si>
  <si>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</si>
  <si>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</si>
  <si>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</si>
  <si>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</si>
  <si>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</si>
  <si>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</si>
  <si>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</si>
  <si>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</si>
  <si>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</si>
  <si>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</si>
  <si>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</si>
  <si>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</si>
  <si>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</si>
  <si>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</si>
  <si>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</si>
  <si>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</si>
  <si>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</si>
  <si>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</si>
  <si>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</si>
  <si>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</si>
  <si>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</si>
  <si>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</si>
  <si>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</si>
  <si>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</si>
  <si>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</si>
  <si>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</si>
  <si>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</si>
  <si>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</si>
  <si>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</si>
  <si>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</si>
  <si>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</si>
  <si>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</si>
  <si>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</si>
  <si>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</si>
  <si>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</si>
  <si>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</si>
  <si>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</si>
  <si>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</si>
  <si>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</si>
  <si>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</si>
  <si>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</si>
  <si>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</si>
  <si>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</si>
  <si>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</si>
  <si>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</si>
  <si>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</si>
  <si>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</si>
  <si>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</si>
  <si>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</si>
  <si>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</si>
  <si>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</si>
  <si>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</si>
  <si>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Alter</t>
  </si>
  <si>
    <t>Friedhof</t>
  </si>
  <si>
    <t>Mühl</t>
  </si>
  <si>
    <t>Hoch</t>
  </si>
  <si>
    <t>Heune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</si>
  <si>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</si>
  <si>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</si>
  <si>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</si>
  <si>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</si>
  <si>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</si>
  <si>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</si>
  <si>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</si>
  <si>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</si>
  <si>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</si>
  <si>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</si>
  <si>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</si>
  <si>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</si>
  <si>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</si>
  <si>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</si>
  <si>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</si>
  <si>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</si>
  <si>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</si>
  <si>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</si>
  <si>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</si>
  <si>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</si>
  <si>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</si>
  <si>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</si>
  <si>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</si>
  <si>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</si>
  <si>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</si>
  <si>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</si>
  <si>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</si>
  <si>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</si>
  <si>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</si>
  <si>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</si>
  <si>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</si>
  <si>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</si>
  <si>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</si>
  <si>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</si>
  <si>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</si>
  <si>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</si>
  <si>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</si>
  <si>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</si>
  <si>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</si>
  <si>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</si>
  <si>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</si>
  <si>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</si>
  <si>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</si>
  <si>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</si>
  <si>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</si>
  <si>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</si>
  <si>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</si>
  <si>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</si>
  <si>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</si>
  <si>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</si>
  <si>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</si>
  <si>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</si>
  <si>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</si>
  <si>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</si>
  <si>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</si>
  <si>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</si>
  <si>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</si>
  <si>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</si>
  <si>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</si>
  <si>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</si>
  <si>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</si>
  <si>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</si>
  <si>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</si>
  <si>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</si>
  <si>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</si>
  <si>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</si>
  <si>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</si>
  <si>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</si>
  <si>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</si>
  <si>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</si>
  <si>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</si>
  <si>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</si>
  <si>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</si>
  <si>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</si>
  <si>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</si>
  <si>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</si>
  <si>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</si>
  <si>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</si>
  <si>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</si>
  <si>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</si>
  <si>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</si>
  <si>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</si>
  <si>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</si>
  <si>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</si>
  <si>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</si>
  <si>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</si>
  <si>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</si>
  <si>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</si>
  <si>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</si>
  <si>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</si>
  <si>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</si>
  <si>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</si>
  <si>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</si>
  <si>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</si>
  <si>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</si>
  <si>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</si>
  <si>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</si>
  <si>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</si>
  <si>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</si>
  <si>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</si>
  <si>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</si>
  <si>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</si>
  <si>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</si>
  <si>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</si>
  <si>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</si>
  <si>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</si>
  <si>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</si>
  <si>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</si>
  <si>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</si>
  <si>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</si>
  <si>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</si>
  <si>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</si>
  <si>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</si>
  <si>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</si>
  <si>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</si>
  <si>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</si>
  <si>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</si>
  <si>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</si>
  <si>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</si>
  <si>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</si>
  <si>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</si>
  <si>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</si>
  <si>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</si>
  <si>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</si>
  <si>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</si>
  <si>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</si>
  <si>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</si>
  <si>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</si>
  <si>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</si>
  <si>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</si>
  <si>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</si>
  <si>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</si>
  <si>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</si>
  <si>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</si>
  <si>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</si>
  <si>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</si>
  <si>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</si>
  <si>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</si>
  <si>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</si>
  <si>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</si>
  <si>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</si>
  <si>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</si>
  <si>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</si>
  <si>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</si>
  <si>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</si>
  <si>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</si>
  <si>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</si>
  <si>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</si>
  <si>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</si>
  <si>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</si>
  <si>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</si>
  <si>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</si>
  <si>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</si>
  <si>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</si>
  <si>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</si>
  <si>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</si>
  <si>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</si>
  <si>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</si>
  <si>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</si>
  <si>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</si>
  <si>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</si>
  <si>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</si>
  <si>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</si>
  <si>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</si>
  <si>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</si>
  <si>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</si>
  <si>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</si>
  <si>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</si>
  <si>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</si>
  <si>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</si>
  <si>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</si>
  <si>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</si>
  <si>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</si>
  <si>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</si>
  <si>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</si>
  <si>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</si>
  <si>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</si>
  <si>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</si>
  <si>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</si>
  <si>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</si>
  <si>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</si>
  <si>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</si>
  <si>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</si>
  <si>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</si>
  <si>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</si>
  <si>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</si>
  <si>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</si>
  <si>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</si>
  <si>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</si>
  <si>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</si>
  <si>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</si>
  <si>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</si>
  <si>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</si>
  <si>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</si>
  <si>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</si>
  <si>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</si>
  <si>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</si>
  <si>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</si>
  <si>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</si>
  <si>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</si>
  <si>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</si>
  <si>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</si>
  <si>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</si>
  <si>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</si>
  <si>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</si>
  <si>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</si>
  <si>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</si>
  <si>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</si>
  <si>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</si>
  <si>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</si>
  <si>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</si>
  <si>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</si>
  <si>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</si>
  <si>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</si>
  <si>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</si>
  <si>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</si>
  <si>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</si>
  <si>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</si>
  <si>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</si>
  <si>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</si>
  <si>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</si>
  <si>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</si>
  <si>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</si>
  <si>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</si>
  <si>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</si>
  <si>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</si>
  <si>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</si>
  <si>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</si>
  <si>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</si>
  <si>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</si>
  <si>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</si>
  <si>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</si>
  <si>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</si>
  <si>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</si>
  <si>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</si>
  <si>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</si>
  <si>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</si>
  <si>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</si>
  <si>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</si>
  <si>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</si>
  <si>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</si>
  <si>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</si>
  <si>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</si>
  <si>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</si>
  <si>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</si>
  <si>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</si>
  <si>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</si>
  <si>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Warnung ab</t>
  </si>
  <si>
    <t>km®</t>
  </si>
  <si>
    <t>HM®</t>
  </si>
  <si>
    <t>GH</t>
  </si>
  <si>
    <t>rainweg</t>
  </si>
  <si>
    <t>kurz</t>
  </si>
  <si>
    <t>RÜ</t>
  </si>
  <si>
    <t>Odenwaldkreis UZS Wörth</t>
  </si>
  <si>
    <t>21.</t>
  </si>
  <si>
    <t>% X</t>
  </si>
  <si>
    <t>Weichtal X</t>
  </si>
  <si>
    <t>Sportabzeichen 2021</t>
  </si>
  <si>
    <t>Rüdenau (Hist) *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</si>
</sst>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  <numFmt numFmtId="171" formatCode="0.0%"/>
  </numFmts>
  <fonts count="7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sz val="8"/>
      <color indexed="8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11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5" fillId="0" borderId="0" xfId="1" applyBorder="1" applyAlignment="1" applyProtection="1"/>
    <xf numFmtId="0" fontId="8" fillId="0" borderId="0" xfId="0" applyFont="1"/>
    <xf numFmtId="0" fontId="0" fillId="0" borderId="0" xfId="0" applyAlignment="1">
      <alignment wrapText="1"/>
    </xf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10" fontId="13" fillId="0" borderId="0" xfId="0" applyNumberFormat="1" applyFont="1"/>
    <xf numFmtId="0" fontId="2" fillId="2" borderId="0" xfId="0" applyFont="1" applyFill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/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5" xfId="0" applyBorder="1"/>
    <xf numFmtId="1" fontId="0" fillId="0" borderId="3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 applyAlignment="1">
      <alignment horizontal="center"/>
    </xf>
    <xf numFmtId="167" fontId="0" fillId="0" borderId="0" xfId="0" applyNumberFormat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1" fillId="0" borderId="6" xfId="0" applyFont="1" applyBorder="1"/>
    <xf numFmtId="2" fontId="0" fillId="0" borderId="2" xfId="0" applyNumberFormat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3" xfId="0" applyFont="1" applyBorder="1"/>
    <xf numFmtId="4" fontId="0" fillId="0" borderId="0" xfId="0" applyNumberFormat="1"/>
    <xf numFmtId="3" fontId="0" fillId="0" borderId="9" xfId="0" applyNumberFormat="1" applyBorder="1"/>
    <xf numFmtId="3" fontId="0" fillId="0" borderId="0" xfId="0" applyNumberFormat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Alignment="1">
      <alignment horizontal="righ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Alignment="1">
      <alignment horizontal="center"/>
    </xf>
    <xf numFmtId="1" fontId="2" fillId="0" borderId="0" xfId="0" quotePrefix="1" applyNumberFormat="1" applyFont="1" applyAlignment="1">
      <alignment horizontal="center"/>
    </xf>
    <xf numFmtId="2" fontId="2" fillId="0" borderId="0" xfId="0" quotePrefix="1" applyNumberFormat="1" applyFont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3" fontId="21" fillId="0" borderId="9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166" fontId="2" fillId="0" borderId="3" xfId="0" applyNumberFormat="1" applyFont="1" applyBorder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right"/>
    </xf>
    <xf numFmtId="1" fontId="2" fillId="21" borderId="0" xfId="0" applyNumberFormat="1" applyFont="1" applyFill="1" applyAlignment="1">
      <alignment horizontal="right"/>
    </xf>
    <xf numFmtId="0" fontId="2" fillId="23" borderId="14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1" fontId="2" fillId="0" borderId="0" xfId="0" applyNumberFormat="1" applyFont="1"/>
    <xf numFmtId="0" fontId="2" fillId="34" borderId="0" xfId="0" applyFont="1" applyFill="1" applyAlignment="1">
      <alignment horizontal="center"/>
    </xf>
    <xf numFmtId="2" fontId="2" fillId="35" borderId="0" xfId="0" applyNumberFormat="1" applyFont="1" applyFill="1" applyAlignment="1">
      <alignment horizontal="center"/>
    </xf>
    <xf numFmtId="0" fontId="2" fillId="36" borderId="0" xfId="0" applyFont="1" applyFill="1" applyAlignment="1">
      <alignment horizontal="center"/>
    </xf>
    <xf numFmtId="0" fontId="2" fillId="37" borderId="0" xfId="0" applyFont="1" applyFill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1" fontId="74" fillId="0" borderId="0" xfId="0" applyNumberFormat="1" applyFont="1"/>
    <xf numFmtId="2" fontId="73" fillId="0" borderId="0" xfId="0" applyNumberFormat="1" applyFont="1"/>
    <xf numFmtId="14" fontId="0" fillId="0" borderId="0" xfId="0" applyNumberFormat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21" fillId="0" borderId="3" xfId="0" applyFont="1" applyBorder="1" applyAlignment="1">
      <alignment horizontal="left"/>
    </xf>
    <xf numFmtId="0" fontId="21" fillId="0" borderId="0" xfId="0" applyFont="1" applyAlignment="1">
      <alignment horizontal="left"/>
    </xf>
    <xf numFmtId="10" fontId="0" fillId="0" borderId="5" xfId="0" applyNumberFormat="1" applyBorder="1"/>
    <xf numFmtId="166" fontId="2" fillId="0" borderId="19" xfId="0" applyNumberFormat="1" applyFont="1" applyBorder="1"/>
    <xf numFmtId="14" fontId="58" fillId="28" borderId="27" xfId="3" applyNumberFormat="1" applyBorder="1"/>
    <xf numFmtId="14" fontId="58" fillId="28" borderId="31" xfId="3" applyNumberFormat="1" applyBorder="1"/>
    <xf numFmtId="14" fontId="0" fillId="0" borderId="12" xfId="0" applyNumberFormat="1" applyBorder="1" applyAlignment="1">
      <alignment horizontal="center"/>
    </xf>
    <xf numFmtId="49" fontId="21" fillId="0" borderId="7" xfId="0" applyNumberFormat="1" applyFont="1" applyBorder="1" applyAlignment="1">
      <alignment horizontal="right"/>
    </xf>
    <xf numFmtId="171" fontId="4" fillId="0" borderId="0" xfId="0" applyNumberFormat="1" applyFont="1"/>
    <xf numFmtId="171" fontId="43" fillId="0" borderId="0" xfId="0" applyNumberFormat="1" applyFont="1"/>
    <xf numFmtId="171" fontId="0" fillId="0" borderId="0" xfId="0" applyNumberFormat="1"/>
    <xf numFmtId="171" fontId="3" fillId="0" borderId="0" xfId="0" applyNumberFormat="1" applyFont="1"/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170" fontId="2" fillId="0" borderId="0" xfId="0" applyNumberFormat="1" applyFont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</cellXfs>
  <cellStyles count="5">
    <cellStyle name="Ausgabe" xfId="4" builtinId="21"/>
    <cellStyle name="Eingabe" xfId="3" builtinId="20"/>
    <cellStyle name="Link" xfId="1" builtinId="8"/>
    <cellStyle name="Standard" xfId="0" builtinId="0"/>
    <cellStyle name="Standard 2" xfId="2" xr:uid="{00000000-0005-0000-0000-000004000000}"/>
  </cellStyles>
  <dxfs count="178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3300"/>
      </font>
    </dxf>
    <dxf>
      <font>
        <color rgb="FFC0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5" tint="-0.499984740745262"/>
      </font>
      <border>
        <vertical/>
        <horizontal/>
      </border>
    </dxf>
    <dxf>
      <font>
        <color theme="1"/>
      </font>
    </dxf>
    <dxf>
      <font>
        <color rgb="FF00B0F0"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border>
        <bottom/>
        <vertical/>
        <horizontal/>
      </border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CC0000"/>
      </font>
    </dxf>
    <dxf>
      <font>
        <color rgb="FF00CC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rgb="FF006600"/>
      </font>
    </dxf>
    <dxf>
      <font>
        <color rgb="FF800000"/>
      </font>
    </dxf>
    <dxf>
      <font>
        <b/>
        <i val="0"/>
        <color rgb="FFCC0000"/>
      </font>
    </dxf>
    <dxf>
      <font>
        <b/>
        <i val="0"/>
        <color rgb="FF00CC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indexed="8"/>
      </font>
    </dxf>
    <dxf>
      <font>
        <color theme="1"/>
      </font>
    </dxf>
    <dxf>
      <font>
        <color rgb="FF800000"/>
      </font>
    </dxf>
    <dxf>
      <font>
        <color rgb="FFFF0000"/>
      </font>
    </dxf>
    <dxf>
      <font>
        <color rgb="FF000066"/>
      </font>
    </dxf>
    <dxf>
      <font>
        <color rgb="FF0000FF"/>
      </font>
    </dxf>
    <dxf>
      <font>
        <b val="0"/>
        <i val="0"/>
        <color rgb="FF0066FF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00CC00"/>
      </font>
    </dxf>
    <dxf>
      <font>
        <color theme="9" tint="-0.499984740745262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rgb="FF0066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rgb="FF7030A0"/>
      </font>
      <fill>
        <patternFill>
          <bgColor rgb="FFCC99FF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b/>
        <i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B7-957E-1B2A85A6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627-BA1B-51BE7A5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E3A-AC7A-25B9146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26" Type="http://schemas.openxmlformats.org/officeDocument/2006/relationships/comments" Target="../comments12.xm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vmlDrawing" Target="../drawings/vmlDrawing12.v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hyperlink" Target="http://www.deutsches-sportabzeichen.de/" TargetMode="External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hotoshop.com/accounts/dde9a78a590842e58bcf1fe233f8eff1/px-assets/ea5aa46d9a534c869ff1be306c1a6c62" TargetMode="External"/><Relationship Id="rId21" Type="http://schemas.openxmlformats.org/officeDocument/2006/relationships/hyperlink" Target="http://de.wikipedia.org/wiki/Tremalzo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16" Type="http://schemas.openxmlformats.org/officeDocument/2006/relationships/hyperlink" Target="http://www.photoshop.com/accounts/dde9a78a590842e58bcf1fe233f8eff1/px-assets/669795a4ffda4585ad5e89cd2183596e" TargetMode="External"/><Relationship Id="rId11" Type="http://schemas.openxmlformats.org/officeDocument/2006/relationships/hyperlink" Target="http://de.wikipedia.org/wiki/Mariazell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90" Type="http://schemas.openxmlformats.org/officeDocument/2006/relationships/vmlDrawing" Target="../drawings/vmlDrawing15.vm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76" Type="http://schemas.openxmlformats.org/officeDocument/2006/relationships/hyperlink" Target="http://static.panoramio.com/photos/original/92343232.jpg" TargetMode="External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66" Type="http://schemas.openxmlformats.org/officeDocument/2006/relationships/hyperlink" Target="http://static.panoramio.com/photos/original/92343159.jpg" TargetMode="External"/><Relationship Id="rId87" Type="http://schemas.openxmlformats.org/officeDocument/2006/relationships/hyperlink" Target="http://static.panoramio.com/photos/original/92343212.jpg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19" Type="http://schemas.openxmlformats.org/officeDocument/2006/relationships/hyperlink" Target="http://de.wikipedia.org/wiki/Pico_de_las_Niev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155" bestFit="1" customWidth="1"/>
    <col min="11" max="14" width="2.28515625" style="5" bestFit="1" customWidth="1"/>
    <col min="15" max="15" width="4.5703125" style="11" bestFit="1" customWidth="1"/>
  </cols>
  <sheetData>
    <row r="1" spans="1:15" s="137" customFormat="1" x14ac:dyDescent="0.2">
      <c r="A1" s="161" t="s">
        <v>55</v>
      </c>
      <c r="B1" s="22" t="s">
        <v>0</v>
      </c>
      <c r="C1" s="192" t="s">
        <v>238</v>
      </c>
      <c r="D1" s="21" t="s">
        <v>2</v>
      </c>
      <c r="E1" s="24" t="s">
        <v>237</v>
      </c>
      <c r="F1" s="21" t="s">
        <v>24</v>
      </c>
      <c r="G1" s="307" t="s">
        <v>1</v>
      </c>
      <c r="H1" s="24" t="s">
        <v>3</v>
      </c>
      <c r="I1" s="24" t="s">
        <v>22</v>
      </c>
      <c r="J1" s="24" t="s">
        <v>84</v>
      </c>
      <c r="K1" s="136" t="s">
        <v>244</v>
      </c>
      <c r="L1" s="136" t="s">
        <v>245</v>
      </c>
      <c r="M1" s="136" t="s">
        <v>246</v>
      </c>
      <c r="N1" s="136" t="s">
        <v>247</v>
      </c>
      <c r="O1" s="24" t="s">
        <v>207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155" t="s">
        <v>89</v>
      </c>
      <c r="K2" s="89">
        <v>2</v>
      </c>
      <c r="L2" s="89">
        <v>3</v>
      </c>
      <c r="M2" s="89">
        <v>2</v>
      </c>
      <c r="N2" s="89">
        <v>1</v>
      </c>
      <c r="O2" s="11">
        <f t="shared" ref="O2:O44" si="1">AVERAGE(K2:N2)</f>
        <v>2</v>
      </c>
    </row>
    <row r="3" spans="1:15" x14ac:dyDescent="0.2">
      <c r="A3" s="1" t="s">
        <v>301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191" t="s">
        <v>5</v>
      </c>
      <c r="I3" s="18">
        <f t="shared" si="0"/>
        <v>1.6276477146042363E-2</v>
      </c>
      <c r="J3" s="155" t="s">
        <v>89</v>
      </c>
      <c r="K3" s="89">
        <v>3</v>
      </c>
      <c r="L3" s="89">
        <v>2</v>
      </c>
      <c r="M3" s="89">
        <v>2</v>
      </c>
      <c r="N3" s="89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155" t="s">
        <v>90</v>
      </c>
      <c r="K4" s="89">
        <v>2</v>
      </c>
      <c r="L4" s="89">
        <v>2</v>
      </c>
      <c r="M4" s="89">
        <v>2</v>
      </c>
      <c r="N4" s="89">
        <v>2</v>
      </c>
      <c r="O4" s="11">
        <f t="shared" si="1"/>
        <v>2</v>
      </c>
    </row>
    <row r="5" spans="1:15" x14ac:dyDescent="0.2">
      <c r="A5" s="1" t="s">
        <v>440</v>
      </c>
      <c r="B5" s="2">
        <v>0.1277777777777778</v>
      </c>
      <c r="C5" s="3">
        <v>69.7</v>
      </c>
      <c r="D5" s="72">
        <v>778</v>
      </c>
      <c r="E5" s="12">
        <v>22.7</v>
      </c>
      <c r="F5" s="13">
        <v>130</v>
      </c>
      <c r="G5" s="13">
        <v>585</v>
      </c>
      <c r="H5" s="6" t="s">
        <v>393</v>
      </c>
      <c r="I5" s="18">
        <f t="shared" si="0"/>
        <v>2.2324246771879483E-2</v>
      </c>
      <c r="J5" s="155" t="s">
        <v>89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155" t="s">
        <v>89</v>
      </c>
      <c r="K6" s="89">
        <v>2</v>
      </c>
      <c r="L6" s="89">
        <v>2</v>
      </c>
      <c r="M6" s="89">
        <v>2</v>
      </c>
      <c r="N6" s="89">
        <v>2</v>
      </c>
      <c r="O6" s="11">
        <f t="shared" si="1"/>
        <v>2</v>
      </c>
    </row>
    <row r="7" spans="1:15" x14ac:dyDescent="0.2">
      <c r="A7" s="1" t="s">
        <v>529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191" t="s">
        <v>5</v>
      </c>
      <c r="I7" s="18">
        <f t="shared" si="0"/>
        <v>1.8641595072134868E-2</v>
      </c>
      <c r="J7" s="155" t="s">
        <v>89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460</v>
      </c>
      <c r="B8" s="2">
        <v>0.10238095238095238</v>
      </c>
      <c r="C8" s="106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155" t="s">
        <v>89</v>
      </c>
      <c r="K8" s="89">
        <v>2</v>
      </c>
      <c r="L8" s="89">
        <v>3</v>
      </c>
      <c r="M8" s="89">
        <v>1</v>
      </c>
      <c r="N8" s="89">
        <v>2</v>
      </c>
      <c r="O8" s="11">
        <f t="shared" si="1"/>
        <v>2</v>
      </c>
    </row>
    <row r="9" spans="1:15" x14ac:dyDescent="0.2">
      <c r="A9" s="1" t="s">
        <v>150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155" t="s">
        <v>89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681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639</v>
      </c>
      <c r="I10" s="18">
        <f t="shared" si="0"/>
        <v>2.4758220502901353E-2</v>
      </c>
      <c r="J10" s="155" t="s">
        <v>89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585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155" t="s">
        <v>89</v>
      </c>
      <c r="K11" s="89">
        <v>2</v>
      </c>
      <c r="L11" s="89">
        <v>2</v>
      </c>
      <c r="M11" s="89">
        <v>2</v>
      </c>
      <c r="N11" s="89">
        <v>2</v>
      </c>
      <c r="O11" s="11">
        <f t="shared" si="1"/>
        <v>2</v>
      </c>
    </row>
    <row r="12" spans="1:15" x14ac:dyDescent="0.2">
      <c r="A12" s="1" t="s">
        <v>191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155" t="s">
        <v>89</v>
      </c>
      <c r="K12" s="89">
        <v>1</v>
      </c>
      <c r="L12" s="89">
        <v>3</v>
      </c>
      <c r="M12" s="89">
        <v>3</v>
      </c>
      <c r="N12" s="89">
        <v>2</v>
      </c>
      <c r="O12" s="11">
        <f t="shared" si="1"/>
        <v>2.25</v>
      </c>
    </row>
    <row r="13" spans="1:15" x14ac:dyDescent="0.2">
      <c r="A13" s="1" t="s">
        <v>611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393</v>
      </c>
      <c r="I13" s="18">
        <f t="shared" si="0"/>
        <v>2.4015009380863036E-2</v>
      </c>
      <c r="J13" s="155" t="s">
        <v>89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759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155" t="s">
        <v>89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823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639</v>
      </c>
      <c r="I15" s="18">
        <f t="shared" si="0"/>
        <v>2.170686456400742E-2</v>
      </c>
      <c r="J15" s="155" t="s">
        <v>89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155" t="s">
        <v>90</v>
      </c>
      <c r="K16" s="89">
        <v>2</v>
      </c>
      <c r="L16" s="89">
        <v>2</v>
      </c>
      <c r="M16" s="89">
        <v>2</v>
      </c>
      <c r="N16" s="89">
        <v>1</v>
      </c>
      <c r="O16" s="11">
        <f t="shared" si="1"/>
        <v>1.75</v>
      </c>
    </row>
    <row r="17" spans="1:15" x14ac:dyDescent="0.2">
      <c r="A17" s="1" t="s">
        <v>54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155" t="s">
        <v>89</v>
      </c>
      <c r="K17" s="89">
        <v>1</v>
      </c>
      <c r="L17" s="89">
        <v>3</v>
      </c>
      <c r="M17" s="89">
        <v>2</v>
      </c>
      <c r="N17" s="89">
        <v>3</v>
      </c>
      <c r="O17" s="11">
        <f t="shared" si="1"/>
        <v>2.25</v>
      </c>
    </row>
    <row r="18" spans="1:15" x14ac:dyDescent="0.2">
      <c r="A18" s="1" t="s">
        <v>250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155" t="s">
        <v>89</v>
      </c>
      <c r="K18" s="89">
        <v>1</v>
      </c>
      <c r="L18" s="89">
        <v>2</v>
      </c>
      <c r="M18" s="89">
        <v>2</v>
      </c>
      <c r="N18" s="89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155" t="s">
        <v>90</v>
      </c>
      <c r="K19" s="89">
        <v>1</v>
      </c>
      <c r="L19" s="89">
        <v>2</v>
      </c>
      <c r="M19" s="89">
        <v>2</v>
      </c>
      <c r="N19" s="89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155" t="s">
        <v>89</v>
      </c>
      <c r="K20" s="89">
        <v>1</v>
      </c>
      <c r="L20" s="89">
        <v>3</v>
      </c>
      <c r="M20" s="89">
        <v>3</v>
      </c>
      <c r="N20" s="89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155" t="s">
        <v>89</v>
      </c>
      <c r="K21" s="89">
        <v>2</v>
      </c>
      <c r="L21" s="89">
        <v>2</v>
      </c>
      <c r="M21" s="89">
        <v>2</v>
      </c>
      <c r="N21" s="89">
        <v>2</v>
      </c>
      <c r="O21" s="11">
        <f t="shared" si="1"/>
        <v>2</v>
      </c>
    </row>
    <row r="22" spans="1:15" x14ac:dyDescent="0.2">
      <c r="A22" s="1" t="s">
        <v>158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187" t="s">
        <v>89</v>
      </c>
      <c r="K22" s="89">
        <v>1</v>
      </c>
      <c r="L22" s="89">
        <v>2</v>
      </c>
      <c r="M22" s="89">
        <v>2</v>
      </c>
      <c r="N22" s="89">
        <v>2</v>
      </c>
      <c r="O22" s="11">
        <f t="shared" si="1"/>
        <v>1.75</v>
      </c>
    </row>
    <row r="23" spans="1:15" x14ac:dyDescent="0.2">
      <c r="A23" s="1" t="s">
        <v>48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191" t="s">
        <v>5</v>
      </c>
      <c r="I23" s="18">
        <f t="shared" si="0"/>
        <v>2.7922561429635145E-2</v>
      </c>
      <c r="J23" s="187" t="s">
        <v>89</v>
      </c>
      <c r="K23" s="89">
        <v>1</v>
      </c>
      <c r="L23" s="89">
        <v>3</v>
      </c>
      <c r="M23" s="89">
        <v>2</v>
      </c>
      <c r="N23" s="89">
        <v>3</v>
      </c>
      <c r="O23" s="11">
        <f t="shared" si="1"/>
        <v>2.25</v>
      </c>
    </row>
    <row r="24" spans="1:15" x14ac:dyDescent="0.2">
      <c r="A24" s="1" t="s">
        <v>157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191" t="s">
        <v>6</v>
      </c>
      <c r="I24" s="18">
        <f t="shared" si="0"/>
        <v>3.1054461181923523E-2</v>
      </c>
      <c r="J24" s="187" t="s">
        <v>90</v>
      </c>
      <c r="K24" s="89">
        <v>2</v>
      </c>
      <c r="L24" s="89">
        <v>2</v>
      </c>
      <c r="M24" s="89">
        <v>1</v>
      </c>
      <c r="N24" s="89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187" t="s">
        <v>89</v>
      </c>
      <c r="K25" s="89">
        <v>1</v>
      </c>
      <c r="L25" s="89">
        <v>2</v>
      </c>
      <c r="M25" s="89">
        <v>1</v>
      </c>
      <c r="N25" s="89">
        <v>2</v>
      </c>
      <c r="O25" s="11">
        <f t="shared" si="1"/>
        <v>1.5</v>
      </c>
    </row>
    <row r="26" spans="1:15" x14ac:dyDescent="0.2">
      <c r="A26" s="1" t="s">
        <v>161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187" t="s">
        <v>89</v>
      </c>
      <c r="K26" s="89">
        <v>1</v>
      </c>
      <c r="L26" s="89">
        <v>2</v>
      </c>
      <c r="M26" s="89">
        <v>2</v>
      </c>
      <c r="N26" s="89">
        <v>3</v>
      </c>
      <c r="O26" s="11">
        <f t="shared" si="1"/>
        <v>2</v>
      </c>
    </row>
    <row r="27" spans="1:15" x14ac:dyDescent="0.2">
      <c r="A27" s="1" t="s">
        <v>71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187" t="s">
        <v>89</v>
      </c>
      <c r="K27" s="89">
        <v>2</v>
      </c>
      <c r="L27" s="89">
        <v>3</v>
      </c>
      <c r="M27" s="89">
        <v>1</v>
      </c>
      <c r="N27" s="89">
        <v>3</v>
      </c>
      <c r="O27" s="11">
        <f t="shared" si="1"/>
        <v>2.25</v>
      </c>
    </row>
    <row r="28" spans="1:15" x14ac:dyDescent="0.2">
      <c r="A28" s="1" t="s">
        <v>523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193" t="s">
        <v>6</v>
      </c>
      <c r="I28" s="18">
        <f t="shared" si="0"/>
        <v>2.6850690087829362E-2</v>
      </c>
      <c r="J28" s="155" t="s">
        <v>89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105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187" t="s">
        <v>89</v>
      </c>
      <c r="K29" s="89">
        <v>1</v>
      </c>
      <c r="L29" s="89">
        <v>3</v>
      </c>
      <c r="M29" s="89">
        <v>1</v>
      </c>
      <c r="N29" s="89">
        <v>3</v>
      </c>
      <c r="O29" s="11">
        <f t="shared" si="1"/>
        <v>2</v>
      </c>
    </row>
    <row r="30" spans="1:15" x14ac:dyDescent="0.2">
      <c r="A30" s="1" t="s">
        <v>820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639</v>
      </c>
      <c r="I30" s="18">
        <f t="shared" si="0"/>
        <v>1.6818181818181819E-2</v>
      </c>
      <c r="J30" s="155" t="s">
        <v>89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179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187" t="s">
        <v>89</v>
      </c>
      <c r="K31" s="89">
        <v>2</v>
      </c>
      <c r="L31" s="89">
        <v>3</v>
      </c>
      <c r="M31" s="89">
        <v>1</v>
      </c>
      <c r="N31" s="89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187" t="s">
        <v>89</v>
      </c>
      <c r="K32" s="89">
        <v>1</v>
      </c>
      <c r="L32" s="89">
        <v>2</v>
      </c>
      <c r="M32" s="89">
        <v>1</v>
      </c>
      <c r="N32" s="89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187" t="s">
        <v>89</v>
      </c>
      <c r="K33" s="89">
        <v>1</v>
      </c>
      <c r="L33" s="89">
        <v>2</v>
      </c>
      <c r="M33" s="89">
        <v>1</v>
      </c>
      <c r="N33" s="89">
        <v>2</v>
      </c>
      <c r="O33" s="11">
        <f t="shared" si="1"/>
        <v>1.5</v>
      </c>
    </row>
    <row r="34" spans="1:15" x14ac:dyDescent="0.2">
      <c r="A34" s="1" t="s">
        <v>45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187" t="s">
        <v>89</v>
      </c>
      <c r="K34" s="89">
        <v>1</v>
      </c>
      <c r="L34" s="89">
        <v>1</v>
      </c>
      <c r="M34" s="89">
        <v>3</v>
      </c>
      <c r="N34" s="89">
        <v>2</v>
      </c>
      <c r="O34" s="11">
        <f t="shared" si="1"/>
        <v>1.75</v>
      </c>
    </row>
    <row r="35" spans="1:15" x14ac:dyDescent="0.2">
      <c r="A35" s="1" t="s">
        <v>37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187" t="s">
        <v>90</v>
      </c>
      <c r="K35" s="89">
        <v>2</v>
      </c>
      <c r="L35" s="89">
        <v>2</v>
      </c>
      <c r="M35" s="89">
        <v>1</v>
      </c>
      <c r="N35" s="89">
        <v>1</v>
      </c>
      <c r="O35" s="11">
        <f t="shared" si="1"/>
        <v>1.5</v>
      </c>
    </row>
    <row r="36" spans="1:15" x14ac:dyDescent="0.2">
      <c r="A36" s="1" t="s">
        <v>38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187" t="s">
        <v>89</v>
      </c>
      <c r="K36" s="89">
        <v>1</v>
      </c>
      <c r="L36" s="89">
        <v>1</v>
      </c>
      <c r="M36" s="89">
        <v>2</v>
      </c>
      <c r="N36" s="89">
        <v>2</v>
      </c>
      <c r="O36" s="11">
        <f t="shared" si="1"/>
        <v>1.5</v>
      </c>
    </row>
    <row r="37" spans="1:15" x14ac:dyDescent="0.2">
      <c r="A37" s="1" t="s">
        <v>162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6" t="s">
        <v>6</v>
      </c>
      <c r="I37" s="18">
        <f t="shared" si="0"/>
        <v>2.8944820909970959E-2</v>
      </c>
      <c r="J37" s="187" t="s">
        <v>90</v>
      </c>
      <c r="K37" s="89">
        <v>3</v>
      </c>
      <c r="L37" s="89">
        <v>2</v>
      </c>
      <c r="M37" s="89">
        <v>2</v>
      </c>
      <c r="N37" s="89">
        <v>1</v>
      </c>
      <c r="O37" s="11">
        <f t="shared" si="1"/>
        <v>2</v>
      </c>
    </row>
    <row r="38" spans="1:15" x14ac:dyDescent="0.2">
      <c r="A38" s="1" t="s">
        <v>176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187" t="s">
        <v>89</v>
      </c>
      <c r="K38" s="89">
        <v>3</v>
      </c>
      <c r="L38" s="89">
        <v>2</v>
      </c>
      <c r="M38" s="89">
        <v>2</v>
      </c>
      <c r="N38" s="89">
        <v>2</v>
      </c>
      <c r="O38" s="11">
        <f t="shared" si="1"/>
        <v>2.25</v>
      </c>
    </row>
    <row r="39" spans="1:15" x14ac:dyDescent="0.2">
      <c r="A39" s="1" t="s">
        <v>465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155" t="s">
        <v>90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173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187" t="s">
        <v>89</v>
      </c>
      <c r="K40" s="89">
        <v>1</v>
      </c>
      <c r="L40" s="89">
        <v>1</v>
      </c>
      <c r="M40" s="89">
        <v>1</v>
      </c>
      <c r="N40" s="89">
        <v>2</v>
      </c>
      <c r="O40" s="11">
        <f t="shared" si="1"/>
        <v>1.25</v>
      </c>
    </row>
    <row r="41" spans="1:15" x14ac:dyDescent="0.2">
      <c r="A41" s="1" t="s">
        <v>60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155" t="s">
        <v>90</v>
      </c>
      <c r="K41" s="89">
        <v>1</v>
      </c>
      <c r="L41" s="89">
        <v>3</v>
      </c>
      <c r="M41" s="89">
        <v>1</v>
      </c>
      <c r="N41" s="89">
        <v>3</v>
      </c>
      <c r="O41" s="11">
        <f t="shared" si="1"/>
        <v>2</v>
      </c>
    </row>
    <row r="42" spans="1:15" x14ac:dyDescent="0.2">
      <c r="A42" s="1" t="s">
        <v>608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155" t="s">
        <v>90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647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639</v>
      </c>
      <c r="I43" s="18">
        <f t="shared" si="0"/>
        <v>2.7132867132867132E-2</v>
      </c>
      <c r="J43" s="155" t="s">
        <v>89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672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639</v>
      </c>
      <c r="I44" s="18">
        <f t="shared" si="0"/>
        <v>1.4011627906976744E-2</v>
      </c>
      <c r="J44" s="155" t="s">
        <v>90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xmlns:xlrd2="http://schemas.microsoft.com/office/spreadsheetml/2017/richdata2" ref="A2:O44">
    <sortCondition descending="1" ref="G1"/>
  </sortState>
  <phoneticPr fontId="0" type="noConversion"/>
  <conditionalFormatting sqref="E1:E1048576">
    <cfRule type="cellIs" dxfId="1788" priority="155" stopIfTrue="1" operator="between">
      <formula>0</formula>
      <formula>19.99</formula>
    </cfRule>
    <cfRule type="cellIs" dxfId="1787" priority="156" stopIfTrue="1" operator="between">
      <formula>20</formula>
      <formula>24.99</formula>
    </cfRule>
    <cfRule type="cellIs" dxfId="1786" priority="157" stopIfTrue="1" operator="between">
      <formula>25</formula>
      <formula>99.99</formula>
    </cfRule>
  </conditionalFormatting>
  <conditionalFormatting sqref="I1:I1048576">
    <cfRule type="cellIs" dxfId="1785" priority="149" stopIfTrue="1" operator="between">
      <formula>0</formula>
      <formula>0.0199</formula>
    </cfRule>
    <cfRule type="cellIs" dxfId="1784" priority="150" stopIfTrue="1" operator="between">
      <formula>0.02</formula>
      <formula>0.0399</formula>
    </cfRule>
    <cfRule type="cellIs" dxfId="1783" priority="151" stopIfTrue="1" operator="between">
      <formula>0.04</formula>
      <formula>0.9999</formula>
    </cfRule>
  </conditionalFormatting>
  <conditionalFormatting sqref="K1:N1048576">
    <cfRule type="cellIs" dxfId="1782" priority="89" operator="equal">
      <formula>1</formula>
    </cfRule>
    <cfRule type="cellIs" dxfId="1781" priority="90" operator="equal">
      <formula>2</formula>
    </cfRule>
    <cfRule type="cellIs" dxfId="1780" priority="91" operator="equal">
      <formula>3</formula>
    </cfRule>
  </conditionalFormatting>
  <conditionalFormatting sqref="J1:J1048576">
    <cfRule type="cellIs" dxfId="1779" priority="51" stopIfTrue="1" operator="equal">
      <formula>"Hunsrück"</formula>
    </cfRule>
    <cfRule type="cellIs" dxfId="1778" priority="52" stopIfTrue="1" operator="equal">
      <formula>"Fränkische Alb"</formula>
    </cfRule>
    <cfRule type="cellIs" dxfId="1777" priority="53" stopIfTrue="1" operator="equal">
      <formula>"Bayerischer Wald"</formula>
    </cfRule>
    <cfRule type="cellIs" dxfId="1776" priority="54" stopIfTrue="1" operator="equal">
      <formula>"Harz"</formula>
    </cfRule>
    <cfRule type="cellIs" dxfId="1775" priority="55" stopIfTrue="1" operator="equal">
      <formula>"Fichtelgebirge"</formula>
    </cfRule>
    <cfRule type="cellIs" dxfId="1774" priority="56" stopIfTrue="1" operator="equal">
      <formula>"Frankenwald"</formula>
    </cfRule>
    <cfRule type="cellIs" dxfId="1773" priority="57" stopIfTrue="1" operator="equal">
      <formula>"Thüringer Wald"</formula>
    </cfRule>
    <cfRule type="cellIs" dxfId="1772" priority="58" stopIfTrue="1" operator="equal">
      <formula>"Rothaargebirge"</formula>
    </cfRule>
    <cfRule type="cellIs" dxfId="1771" priority="59" stopIfTrue="1" operator="equal">
      <formula>"Schwäbische Alb"</formula>
    </cfRule>
    <cfRule type="cellIs" dxfId="1770" priority="60" stopIfTrue="1" operator="equal">
      <formula>"Alpen"</formula>
    </cfRule>
    <cfRule type="cellIs" dxfId="1769" priority="61" stopIfTrue="1" operator="equal">
      <formula>"Pfalz"</formula>
    </cfRule>
    <cfRule type="cellIs" dxfId="1768" priority="62" stopIfTrue="1" operator="equal">
      <formula>"Schwarzwald"</formula>
    </cfRule>
    <cfRule type="cellIs" dxfId="1767" priority="63" stopIfTrue="1" operator="equal">
      <formula>"Vogelsberg"</formula>
    </cfRule>
    <cfRule type="cellIs" dxfId="1766" priority="64" stopIfTrue="1" operator="equal">
      <formula>"Rhön"</formula>
    </cfRule>
    <cfRule type="cellIs" dxfId="1765" priority="65" stopIfTrue="1" operator="equal">
      <formula>"Schwarzwald"</formula>
    </cfRule>
    <cfRule type="cellIs" dxfId="1764" priority="66" stopIfTrue="1" operator="equal">
      <formula>"Taunus"</formula>
    </cfRule>
    <cfRule type="cellIs" dxfId="1763" priority="67" stopIfTrue="1" operator="equal">
      <formula>"Spessart"</formula>
    </cfRule>
    <cfRule type="cellIs" dxfId="1762" priority="68" stopIfTrue="1" operator="equal">
      <formula>"Odenwald"</formula>
    </cfRule>
  </conditionalFormatting>
  <conditionalFormatting sqref="B1:B1048576">
    <cfRule type="cellIs" dxfId="1761" priority="34" stopIfTrue="1" operator="between">
      <formula>0</formula>
      <formula>0.041666665</formula>
    </cfRule>
    <cfRule type="cellIs" dxfId="1760" priority="35" stopIfTrue="1" operator="between">
      <formula>0.0416666666666667</formula>
      <formula>0.124999884259259</formula>
    </cfRule>
    <cfRule type="cellIs" dxfId="1759" priority="36" stopIfTrue="1" operator="between">
      <formula>0.125</formula>
      <formula>0.166666550925926</formula>
    </cfRule>
    <cfRule type="cellIs" dxfId="1758" priority="37" stopIfTrue="1" operator="between">
      <formula>0.0833333333333333</formula>
      <formula>0.208333217592593</formula>
    </cfRule>
    <cfRule type="cellIs" dxfId="1757" priority="38" stopIfTrue="1" operator="between">
      <formula>0.208333333333333</formula>
      <formula>4.16666655092593</formula>
    </cfRule>
  </conditionalFormatting>
  <conditionalFormatting sqref="G1:G1048576">
    <cfRule type="cellIs" dxfId="1756" priority="28" stopIfTrue="1" operator="between">
      <formula>0</formula>
      <formula>399.99</formula>
    </cfRule>
    <cfRule type="cellIs" dxfId="1755" priority="29" stopIfTrue="1" operator="between">
      <formula>400</formula>
      <formula>449.99</formula>
    </cfRule>
    <cfRule type="cellIs" dxfId="1754" priority="30" stopIfTrue="1" operator="between">
      <formula>450</formula>
      <formula>499.99</formula>
    </cfRule>
    <cfRule type="cellIs" dxfId="1753" priority="31" stopIfTrue="1" operator="between">
      <formula>500</formula>
      <formula>549.99</formula>
    </cfRule>
    <cfRule type="cellIs" dxfId="1752" priority="32" stopIfTrue="1" operator="between">
      <formula>550</formula>
      <formula>599.99</formula>
    </cfRule>
  </conditionalFormatting>
  <conditionalFormatting sqref="G1:G1048576">
    <cfRule type="cellIs" dxfId="1751" priority="33" stopIfTrue="1" operator="between">
      <formula>600</formula>
      <formula>9999.99</formula>
    </cfRule>
  </conditionalFormatting>
  <conditionalFormatting sqref="F1:F1048576">
    <cfRule type="cellIs" dxfId="1750" priority="23" stopIfTrue="1" operator="between">
      <formula>118</formula>
      <formula>120.99</formula>
    </cfRule>
    <cfRule type="cellIs" dxfId="1749" priority="24" stopIfTrue="1" operator="between">
      <formula>121</formula>
      <formula>123.99</formula>
    </cfRule>
    <cfRule type="cellIs" dxfId="1748" priority="25" stopIfTrue="1" operator="between">
      <formula>124</formula>
      <formula>126.99</formula>
    </cfRule>
    <cfRule type="cellIs" dxfId="1747" priority="26" stopIfTrue="1" operator="between">
      <formula>127</formula>
      <formula>129.99</formula>
    </cfRule>
    <cfRule type="cellIs" dxfId="1746" priority="27" stopIfTrue="1" operator="between">
      <formula>130</formula>
      <formula>9999.99</formula>
    </cfRule>
  </conditionalFormatting>
  <conditionalFormatting sqref="F1:F1048576">
    <cfRule type="cellIs" dxfId="1745" priority="22" stopIfTrue="1" operator="between">
      <formula>0</formula>
      <formula>117.99</formula>
    </cfRule>
  </conditionalFormatting>
  <conditionalFormatting sqref="H1:H1048576">
    <cfRule type="cellIs" dxfId="1744" priority="18" stopIfTrue="1" operator="equal">
      <formula>"CR"</formula>
    </cfRule>
    <cfRule type="cellIs" dxfId="1743" priority="19" stopIfTrue="1" operator="equal">
      <formula>"FB"</formula>
    </cfRule>
    <cfRule type="cellIs" dxfId="1742" priority="20" stopIfTrue="1" operator="equal">
      <formula>"RR"</formula>
    </cfRule>
    <cfRule type="cellIs" dxfId="1741" priority="21" stopIfTrue="1" operator="equal">
      <formula>"MTB"</formula>
    </cfRule>
  </conditionalFormatting>
  <conditionalFormatting sqref="A1:A1048576">
    <cfRule type="expression" dxfId="1740" priority="14" stopIfTrue="1">
      <formula>H1="CR"</formula>
    </cfRule>
    <cfRule type="expression" dxfId="1739" priority="15" stopIfTrue="1">
      <formula>H1="RR"</formula>
    </cfRule>
    <cfRule type="expression" dxfId="1738" priority="16" stopIfTrue="1">
      <formula>H1="FB"</formula>
    </cfRule>
    <cfRule type="expression" dxfId="1737" priority="17" stopIfTrue="1">
      <formula>H1="MTB"</formula>
    </cfRule>
  </conditionalFormatting>
  <conditionalFormatting sqref="O1:O1048576">
    <cfRule type="cellIs" dxfId="1736" priority="11" stopIfTrue="1" operator="between">
      <formula>1</formula>
      <formula>1.499</formula>
    </cfRule>
    <cfRule type="cellIs" dxfId="1735" priority="12" stopIfTrue="1" operator="between">
      <formula>1.5</formula>
      <formula>2</formula>
    </cfRule>
    <cfRule type="cellIs" dxfId="1734" priority="13" operator="between">
      <formula>2</formula>
      <formula>99.999</formula>
    </cfRule>
  </conditionalFormatting>
  <conditionalFormatting sqref="C1:C1048576">
    <cfRule type="cellIs" dxfId="1733" priority="7" stopIfTrue="1" operator="between">
      <formula>0</formula>
      <formula>19.99</formula>
    </cfRule>
    <cfRule type="cellIs" dxfId="1732" priority="8" stopIfTrue="1" operator="between">
      <formula>20</formula>
      <formula>49.99</formula>
    </cfRule>
    <cfRule type="cellIs" dxfId="1731" priority="9" stopIfTrue="1" operator="between">
      <formula>50</formula>
      <formula>99.9999</formula>
    </cfRule>
    <cfRule type="cellIs" dxfId="1730" priority="10" stopIfTrue="1" operator="between">
      <formula>100</formula>
      <formula>9999</formula>
    </cfRule>
  </conditionalFormatting>
  <conditionalFormatting sqref="D1:D1048576">
    <cfRule type="cellIs" dxfId="1729" priority="1" stopIfTrue="1" operator="between">
      <formula>0</formula>
      <formula>99.99</formula>
    </cfRule>
    <cfRule type="cellIs" dxfId="1728" priority="2" stopIfTrue="1" operator="between">
      <formula>100</formula>
      <formula>499.99</formula>
    </cfRule>
    <cfRule type="cellIs" dxfId="1727" priority="3" stopIfTrue="1" operator="between">
      <formula>500</formula>
      <formula>999.99</formula>
    </cfRule>
    <cfRule type="cellIs" dxfId="1726" priority="4" stopIfTrue="1" operator="between">
      <formula>1000</formula>
      <formula>1499.99</formula>
    </cfRule>
    <cfRule type="cellIs" dxfId="1725" priority="5" stopIfTrue="1" operator="between">
      <formula>1500</formula>
      <formula>1999.99</formula>
    </cfRule>
  </conditionalFormatting>
  <conditionalFormatting sqref="D1:D1048576">
    <cfRule type="cellIs" dxfId="1724" priority="6" stopIfTrue="1" operator="between">
      <formula>2000</formula>
      <formula>9999.99</formula>
    </cfRule>
  </conditionalFormatting>
  <hyperlinks>
    <hyperlink ref="A1" r:id="rId1" display="bild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L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155" bestFit="1" customWidth="1"/>
    <col min="9" max="9" width="8" style="134" bestFit="1" customWidth="1"/>
    <col min="10" max="10" width="5.85546875" customWidth="1"/>
  </cols>
  <sheetData>
    <row r="1" spans="1:12" s="30" customFormat="1" x14ac:dyDescent="0.2">
      <c r="A1" s="29" t="s">
        <v>55</v>
      </c>
      <c r="B1" s="22" t="s">
        <v>0</v>
      </c>
      <c r="C1" s="192" t="s">
        <v>238</v>
      </c>
      <c r="D1" s="305" t="s">
        <v>2</v>
      </c>
      <c r="E1" s="23" t="s">
        <v>237</v>
      </c>
      <c r="F1" s="21" t="s">
        <v>1</v>
      </c>
      <c r="G1" s="21" t="s">
        <v>305</v>
      </c>
      <c r="H1" s="24" t="s">
        <v>306</v>
      </c>
      <c r="I1" s="42" t="s">
        <v>287</v>
      </c>
      <c r="J1" s="24" t="s">
        <v>3</v>
      </c>
    </row>
    <row r="2" spans="1:12" x14ac:dyDescent="0.2">
      <c r="A2" s="1" t="s">
        <v>595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 t="shared" ref="G2:G36" si="0">D2+130</f>
        <v>2610</v>
      </c>
      <c r="H2" s="155" t="s">
        <v>414</v>
      </c>
      <c r="I2" s="134">
        <v>8</v>
      </c>
      <c r="J2" s="6" t="s">
        <v>393</v>
      </c>
    </row>
    <row r="3" spans="1:12" x14ac:dyDescent="0.2">
      <c r="A3" s="1" t="s">
        <v>392</v>
      </c>
      <c r="B3" s="2">
        <v>0.17361111111111113</v>
      </c>
      <c r="C3" s="11">
        <v>75.37</v>
      </c>
      <c r="D3" s="13">
        <v>2170</v>
      </c>
      <c r="E3" s="9">
        <v>18.100000000000001</v>
      </c>
      <c r="F3" s="13">
        <v>440</v>
      </c>
      <c r="G3" s="13">
        <f t="shared" si="0"/>
        <v>2300</v>
      </c>
      <c r="H3" s="30" t="s">
        <v>414</v>
      </c>
      <c r="I3" s="133">
        <v>7</v>
      </c>
      <c r="J3" s="6" t="s">
        <v>5</v>
      </c>
    </row>
    <row r="4" spans="1:12" x14ac:dyDescent="0.2">
      <c r="A4" s="1" t="s">
        <v>309</v>
      </c>
      <c r="B4" s="2">
        <v>0.14657407407407408</v>
      </c>
      <c r="C4" s="11">
        <v>64.67</v>
      </c>
      <c r="D4" s="13">
        <v>1860</v>
      </c>
      <c r="E4" s="9">
        <v>18.3</v>
      </c>
      <c r="F4" s="8">
        <v>440</v>
      </c>
      <c r="G4" s="72">
        <f t="shared" si="0"/>
        <v>1990</v>
      </c>
      <c r="H4" s="30" t="s">
        <v>414</v>
      </c>
      <c r="I4" s="133">
        <v>6</v>
      </c>
      <c r="J4" s="6" t="s">
        <v>5</v>
      </c>
      <c r="L4" s="5"/>
    </row>
    <row r="5" spans="1:12" x14ac:dyDescent="0.2">
      <c r="A5" s="1" t="s">
        <v>362</v>
      </c>
      <c r="B5" s="2">
        <v>0.15559027777777779</v>
      </c>
      <c r="C5" s="3">
        <v>45.12</v>
      </c>
      <c r="D5" s="72">
        <v>1456</v>
      </c>
      <c r="E5" s="9">
        <v>12</v>
      </c>
      <c r="F5" s="13">
        <v>436</v>
      </c>
      <c r="G5" s="13">
        <f t="shared" si="0"/>
        <v>1586</v>
      </c>
      <c r="H5" s="30" t="s">
        <v>414</v>
      </c>
      <c r="I5" s="133">
        <v>6</v>
      </c>
      <c r="J5" s="6" t="s">
        <v>6</v>
      </c>
      <c r="L5" s="5"/>
    </row>
    <row r="6" spans="1:12" x14ac:dyDescent="0.2">
      <c r="A6" s="1" t="s">
        <v>73</v>
      </c>
      <c r="B6" s="2">
        <v>9.4432870370370361E-2</v>
      </c>
      <c r="C6" s="14">
        <v>43.82</v>
      </c>
      <c r="D6" s="13">
        <v>1240</v>
      </c>
      <c r="E6" s="4">
        <v>19.3</v>
      </c>
      <c r="F6" s="13">
        <v>440</v>
      </c>
      <c r="G6" s="5">
        <f t="shared" si="0"/>
        <v>1370</v>
      </c>
      <c r="H6" s="30" t="s">
        <v>85</v>
      </c>
      <c r="I6" s="133">
        <v>4</v>
      </c>
      <c r="J6" s="6" t="s">
        <v>5</v>
      </c>
    </row>
    <row r="7" spans="1:12" x14ac:dyDescent="0.2">
      <c r="A7" s="1" t="s">
        <v>254</v>
      </c>
      <c r="B7" s="2">
        <v>0.11598379629629629</v>
      </c>
      <c r="C7" s="11">
        <v>37.92</v>
      </c>
      <c r="D7" s="13">
        <v>1226</v>
      </c>
      <c r="E7" s="9">
        <v>13.6</v>
      </c>
      <c r="F7" s="13">
        <v>436</v>
      </c>
      <c r="G7" s="8">
        <f t="shared" si="0"/>
        <v>1356</v>
      </c>
      <c r="H7" s="30" t="s">
        <v>85</v>
      </c>
      <c r="I7" s="133">
        <v>5</v>
      </c>
      <c r="J7" s="6" t="s">
        <v>6</v>
      </c>
    </row>
    <row r="8" spans="1:12" x14ac:dyDescent="0.2">
      <c r="A8" s="1" t="s">
        <v>844</v>
      </c>
      <c r="B8" s="2">
        <v>0.11805555555555557</v>
      </c>
      <c r="C8" s="11">
        <v>53.2</v>
      </c>
      <c r="D8">
        <v>1130</v>
      </c>
      <c r="E8" s="12">
        <v>18.776470588235295</v>
      </c>
      <c r="F8">
        <v>460</v>
      </c>
      <c r="G8" s="13">
        <f t="shared" si="0"/>
        <v>1260</v>
      </c>
      <c r="H8" s="155" t="s">
        <v>85</v>
      </c>
      <c r="I8" s="134">
        <v>5</v>
      </c>
      <c r="J8" s="6" t="s">
        <v>393</v>
      </c>
    </row>
    <row r="9" spans="1:12" x14ac:dyDescent="0.2">
      <c r="A9" s="1" t="s">
        <v>441</v>
      </c>
      <c r="B9" s="2">
        <v>0.1080787037037037</v>
      </c>
      <c r="C9" s="106">
        <v>51.67</v>
      </c>
      <c r="D9" s="13">
        <v>1105</v>
      </c>
      <c r="E9" s="9">
        <v>19.899999999999999</v>
      </c>
      <c r="F9" s="13">
        <v>416</v>
      </c>
      <c r="G9" s="13">
        <f t="shared" si="0"/>
        <v>1235</v>
      </c>
      <c r="H9" s="30" t="s">
        <v>85</v>
      </c>
      <c r="I9" s="134">
        <v>4</v>
      </c>
      <c r="J9" s="6" t="s">
        <v>5</v>
      </c>
    </row>
    <row r="10" spans="1:12" x14ac:dyDescent="0.2">
      <c r="A10" s="1" t="s">
        <v>187</v>
      </c>
      <c r="B10" s="2">
        <v>8.6770833333333339E-2</v>
      </c>
      <c r="C10" s="3">
        <v>31.06</v>
      </c>
      <c r="D10" s="5">
        <v>996</v>
      </c>
      <c r="E10" s="12">
        <v>14.9</v>
      </c>
      <c r="F10" s="13">
        <v>436</v>
      </c>
      <c r="G10" s="13">
        <f t="shared" si="0"/>
        <v>1126</v>
      </c>
      <c r="H10" s="30" t="s">
        <v>85</v>
      </c>
      <c r="I10" s="134">
        <v>4</v>
      </c>
      <c r="J10" s="6" t="s">
        <v>6</v>
      </c>
    </row>
    <row r="11" spans="1:12" x14ac:dyDescent="0.2">
      <c r="A11" s="1" t="s">
        <v>535</v>
      </c>
      <c r="B11" s="2">
        <v>9.7222222222222224E-2</v>
      </c>
      <c r="C11" s="3">
        <v>43.6</v>
      </c>
      <c r="D11" s="8">
        <v>930</v>
      </c>
      <c r="E11" s="12">
        <v>18.7</v>
      </c>
      <c r="F11" s="13">
        <v>460</v>
      </c>
      <c r="G11" s="13">
        <f t="shared" si="0"/>
        <v>1060</v>
      </c>
      <c r="H11" s="30" t="s">
        <v>85</v>
      </c>
      <c r="I11" s="134">
        <v>4</v>
      </c>
      <c r="J11" s="6" t="s">
        <v>393</v>
      </c>
      <c r="K11" s="4"/>
    </row>
    <row r="12" spans="1:12" x14ac:dyDescent="0.2">
      <c r="A12" s="1" t="s">
        <v>74</v>
      </c>
      <c r="B12" s="2">
        <v>6.9236111111111109E-2</v>
      </c>
      <c r="C12" s="14">
        <v>32.39</v>
      </c>
      <c r="D12" s="13">
        <v>930</v>
      </c>
      <c r="E12" s="4">
        <v>19.5</v>
      </c>
      <c r="F12" s="8">
        <v>440</v>
      </c>
      <c r="G12" s="13">
        <f t="shared" si="0"/>
        <v>1060</v>
      </c>
      <c r="H12" s="30" t="s">
        <v>85</v>
      </c>
      <c r="I12" s="133">
        <v>3</v>
      </c>
      <c r="J12" s="6" t="s">
        <v>5</v>
      </c>
      <c r="K12" s="40"/>
    </row>
    <row r="13" spans="1:12" x14ac:dyDescent="0.2">
      <c r="A13" s="1" t="s">
        <v>72</v>
      </c>
      <c r="B13" s="2">
        <v>6.2002314814814809E-2</v>
      </c>
      <c r="C13" s="3">
        <v>24.4</v>
      </c>
      <c r="D13" s="13">
        <v>766</v>
      </c>
      <c r="E13" s="12">
        <v>16.399999999999999</v>
      </c>
      <c r="F13" s="13">
        <v>436</v>
      </c>
      <c r="G13" s="8">
        <f t="shared" si="0"/>
        <v>896</v>
      </c>
      <c r="H13" s="30" t="s">
        <v>86</v>
      </c>
      <c r="I13" s="135">
        <v>3</v>
      </c>
      <c r="J13" s="6" t="s">
        <v>6</v>
      </c>
    </row>
    <row r="14" spans="1:12" x14ac:dyDescent="0.2">
      <c r="A14" s="1" t="s">
        <v>536</v>
      </c>
      <c r="B14" s="2">
        <v>7.6388888888888895E-2</v>
      </c>
      <c r="C14" s="11">
        <v>34</v>
      </c>
      <c r="D14" s="13">
        <v>730</v>
      </c>
      <c r="E14" s="9">
        <v>18.5</v>
      </c>
      <c r="F14" s="13">
        <v>460</v>
      </c>
      <c r="G14" s="13">
        <f t="shared" si="0"/>
        <v>860</v>
      </c>
      <c r="H14" s="30" t="s">
        <v>87</v>
      </c>
      <c r="I14" s="134">
        <v>3</v>
      </c>
      <c r="J14" s="6" t="s">
        <v>393</v>
      </c>
    </row>
    <row r="15" spans="1:12" x14ac:dyDescent="0.2">
      <c r="A15" s="1" t="s">
        <v>75</v>
      </c>
      <c r="B15" s="2">
        <v>4.4606481481481476E-2</v>
      </c>
      <c r="C15" s="14">
        <v>21.39</v>
      </c>
      <c r="D15" s="13">
        <v>620</v>
      </c>
      <c r="E15" s="9">
        <v>20</v>
      </c>
      <c r="F15" s="13">
        <v>440</v>
      </c>
      <c r="G15" s="8">
        <f t="shared" si="0"/>
        <v>750</v>
      </c>
      <c r="H15" s="30" t="s">
        <v>88</v>
      </c>
      <c r="I15" s="133">
        <v>2</v>
      </c>
      <c r="J15" s="6" t="s">
        <v>5</v>
      </c>
    </row>
    <row r="16" spans="1:12" x14ac:dyDescent="0.2">
      <c r="A16" s="1" t="s">
        <v>421</v>
      </c>
      <c r="B16" s="2">
        <v>7.1527777777777787E-2</v>
      </c>
      <c r="C16" s="14">
        <v>34.07</v>
      </c>
      <c r="D16" s="13">
        <v>573</v>
      </c>
      <c r="E16" s="9">
        <v>20.2</v>
      </c>
      <c r="F16" s="13">
        <v>416</v>
      </c>
      <c r="G16" s="13">
        <f t="shared" si="0"/>
        <v>703</v>
      </c>
      <c r="H16" s="30" t="s">
        <v>88</v>
      </c>
      <c r="I16" s="133">
        <v>2</v>
      </c>
      <c r="J16" s="6" t="s">
        <v>393</v>
      </c>
    </row>
    <row r="17" spans="1:10" x14ac:dyDescent="0.2">
      <c r="A17" s="1" t="s">
        <v>21</v>
      </c>
      <c r="B17" s="2">
        <v>4.7812500000000001E-2</v>
      </c>
      <c r="C17" s="14">
        <v>16.850000000000001</v>
      </c>
      <c r="D17" s="8">
        <v>536</v>
      </c>
      <c r="E17" s="4">
        <v>14.6</v>
      </c>
      <c r="F17" s="13">
        <v>436</v>
      </c>
      <c r="G17" s="8">
        <f t="shared" si="0"/>
        <v>666</v>
      </c>
      <c r="H17" s="30" t="s">
        <v>88</v>
      </c>
      <c r="I17" s="133">
        <v>2</v>
      </c>
      <c r="J17" s="6" t="s">
        <v>6</v>
      </c>
    </row>
    <row r="18" spans="1:10" x14ac:dyDescent="0.2">
      <c r="A18" s="1" t="s">
        <v>537</v>
      </c>
      <c r="B18" s="2">
        <v>5.5555555555555552E-2</v>
      </c>
      <c r="C18" s="3">
        <v>24.4</v>
      </c>
      <c r="D18" s="13">
        <v>530</v>
      </c>
      <c r="E18" s="12">
        <v>18.3</v>
      </c>
      <c r="F18" s="13">
        <v>460</v>
      </c>
      <c r="G18" s="13">
        <f t="shared" si="0"/>
        <v>660</v>
      </c>
      <c r="H18" s="30" t="s">
        <v>88</v>
      </c>
      <c r="I18" s="134">
        <v>2</v>
      </c>
      <c r="J18" s="6" t="s">
        <v>393</v>
      </c>
    </row>
    <row r="19" spans="1:10" x14ac:dyDescent="0.2">
      <c r="A19" s="1" t="s">
        <v>424</v>
      </c>
      <c r="B19" s="2">
        <v>5.2777777777777778E-2</v>
      </c>
      <c r="C19" s="3">
        <v>19.149999999999999</v>
      </c>
      <c r="D19" s="13">
        <v>422</v>
      </c>
      <c r="E19" s="9">
        <v>15.1</v>
      </c>
      <c r="F19" s="13">
        <v>270</v>
      </c>
      <c r="G19" s="13">
        <f t="shared" si="0"/>
        <v>552</v>
      </c>
      <c r="H19" s="30" t="s">
        <v>90</v>
      </c>
      <c r="I19" s="133">
        <v>3</v>
      </c>
      <c r="J19" s="6" t="s">
        <v>393</v>
      </c>
    </row>
    <row r="20" spans="1:10" x14ac:dyDescent="0.2">
      <c r="A20" s="1" t="s">
        <v>951</v>
      </c>
      <c r="B20" s="2">
        <v>6.8692129629629631E-2</v>
      </c>
      <c r="C20" s="14">
        <v>36.76</v>
      </c>
      <c r="D20" s="8">
        <v>420</v>
      </c>
      <c r="E20" s="12">
        <v>22.297556866048861</v>
      </c>
      <c r="F20" s="13">
        <v>200</v>
      </c>
      <c r="G20" s="13">
        <f t="shared" si="0"/>
        <v>550</v>
      </c>
      <c r="H20" s="30" t="s">
        <v>90</v>
      </c>
      <c r="I20" s="134">
        <v>6</v>
      </c>
      <c r="J20" s="6" t="s">
        <v>5</v>
      </c>
    </row>
    <row r="21" spans="1:10" x14ac:dyDescent="0.2">
      <c r="A21" s="1" t="s">
        <v>857</v>
      </c>
      <c r="B21" s="2">
        <v>7.1724890829694327E-2</v>
      </c>
      <c r="C21" s="11">
        <v>39.42</v>
      </c>
      <c r="D21">
        <v>370</v>
      </c>
      <c r="E21" s="12">
        <v>22.9</v>
      </c>
      <c r="F21">
        <v>202</v>
      </c>
      <c r="G21" s="13">
        <f t="shared" si="0"/>
        <v>500</v>
      </c>
      <c r="H21" s="155" t="s">
        <v>90</v>
      </c>
      <c r="I21" s="134">
        <v>8</v>
      </c>
      <c r="J21" s="6" t="s">
        <v>393</v>
      </c>
    </row>
    <row r="22" spans="1:10" x14ac:dyDescent="0.2">
      <c r="A22" s="1" t="s">
        <v>538</v>
      </c>
      <c r="B22" s="2">
        <v>3.4722222222222224E-2</v>
      </c>
      <c r="C22" s="3">
        <v>14.8</v>
      </c>
      <c r="D22" s="13">
        <v>330</v>
      </c>
      <c r="E22" s="9">
        <v>17.8</v>
      </c>
      <c r="F22" s="13">
        <v>460</v>
      </c>
      <c r="G22" s="13">
        <f t="shared" si="0"/>
        <v>460</v>
      </c>
      <c r="H22" s="30" t="s">
        <v>90</v>
      </c>
      <c r="I22" s="134">
        <v>1</v>
      </c>
      <c r="J22" s="6" t="s">
        <v>393</v>
      </c>
    </row>
    <row r="23" spans="1:10" x14ac:dyDescent="0.2">
      <c r="A23" s="1" t="s">
        <v>230</v>
      </c>
      <c r="B23" s="2">
        <v>2.4525462962962968E-2</v>
      </c>
      <c r="C23" s="11">
        <v>10.6</v>
      </c>
      <c r="D23" s="13">
        <v>310</v>
      </c>
      <c r="E23" s="4">
        <v>18</v>
      </c>
      <c r="F23" s="13">
        <v>440</v>
      </c>
      <c r="G23" s="13">
        <f t="shared" si="0"/>
        <v>440</v>
      </c>
      <c r="H23" s="30" t="s">
        <v>90</v>
      </c>
      <c r="I23" s="133">
        <v>1</v>
      </c>
      <c r="J23" s="6" t="s">
        <v>5</v>
      </c>
    </row>
    <row r="24" spans="1:10" x14ac:dyDescent="0.2">
      <c r="A24" s="1" t="s">
        <v>420</v>
      </c>
      <c r="B24" s="2">
        <v>4.7546296296296302E-2</v>
      </c>
      <c r="C24" s="3">
        <v>25.27</v>
      </c>
      <c r="D24" s="8">
        <v>307</v>
      </c>
      <c r="E24" s="9">
        <v>22.1</v>
      </c>
      <c r="F24" s="13">
        <v>416</v>
      </c>
      <c r="G24" s="13">
        <f t="shared" si="0"/>
        <v>437</v>
      </c>
      <c r="H24" s="30" t="s">
        <v>90</v>
      </c>
      <c r="I24" s="133">
        <v>1</v>
      </c>
      <c r="J24" s="6" t="s">
        <v>5</v>
      </c>
    </row>
    <row r="25" spans="1:10" x14ac:dyDescent="0.2">
      <c r="A25" s="1" t="s">
        <v>229</v>
      </c>
      <c r="B25" s="2">
        <v>3.1145833333333334E-2</v>
      </c>
      <c r="C25" s="3">
        <v>10.1</v>
      </c>
      <c r="D25" s="13">
        <v>306</v>
      </c>
      <c r="E25" s="4">
        <v>13.5</v>
      </c>
      <c r="F25">
        <v>436</v>
      </c>
      <c r="G25" s="13">
        <f t="shared" si="0"/>
        <v>436</v>
      </c>
      <c r="H25" s="155" t="s">
        <v>90</v>
      </c>
      <c r="I25" s="133">
        <v>1</v>
      </c>
      <c r="J25" s="6" t="s">
        <v>6</v>
      </c>
    </row>
    <row r="26" spans="1:10" x14ac:dyDescent="0.2">
      <c r="A26" s="1" t="s">
        <v>423</v>
      </c>
      <c r="B26" s="2">
        <v>4.4027777777777777E-2</v>
      </c>
      <c r="C26" s="11">
        <v>15.85</v>
      </c>
      <c r="D26" s="8">
        <v>292</v>
      </c>
      <c r="E26" s="9">
        <v>15</v>
      </c>
      <c r="F26" s="13">
        <v>270</v>
      </c>
      <c r="G26" s="13">
        <f t="shared" si="0"/>
        <v>422</v>
      </c>
      <c r="H26" s="187" t="s">
        <v>90</v>
      </c>
      <c r="I26" s="133">
        <v>2</v>
      </c>
      <c r="J26" s="6" t="s">
        <v>6</v>
      </c>
    </row>
    <row r="27" spans="1:10" x14ac:dyDescent="0.2">
      <c r="A27" s="1" t="s">
        <v>597</v>
      </c>
      <c r="B27" s="2">
        <v>9.5833333333333326E-2</v>
      </c>
      <c r="C27" s="3">
        <v>52.8</v>
      </c>
      <c r="D27" s="8">
        <v>265</v>
      </c>
      <c r="E27" s="12">
        <v>22.956521739130434</v>
      </c>
      <c r="F27" s="13">
        <v>155</v>
      </c>
      <c r="G27" s="13">
        <f t="shared" si="0"/>
        <v>395</v>
      </c>
      <c r="H27" s="155" t="s">
        <v>90</v>
      </c>
      <c r="I27" s="134">
        <v>10</v>
      </c>
      <c r="J27" s="6" t="s">
        <v>393</v>
      </c>
    </row>
    <row r="28" spans="1:10" x14ac:dyDescent="0.2">
      <c r="A28" s="1" t="s">
        <v>456</v>
      </c>
      <c r="B28" s="2">
        <v>7.9166666666666663E-2</v>
      </c>
      <c r="C28" s="3">
        <v>43.6</v>
      </c>
      <c r="D28" s="13">
        <v>215</v>
      </c>
      <c r="E28" s="9">
        <v>22.9</v>
      </c>
      <c r="F28" s="13">
        <v>155</v>
      </c>
      <c r="G28" s="13">
        <f t="shared" si="0"/>
        <v>345</v>
      </c>
      <c r="H28" s="155" t="s">
        <v>90</v>
      </c>
      <c r="I28" s="134">
        <v>8</v>
      </c>
      <c r="J28" s="6" t="s">
        <v>393</v>
      </c>
    </row>
    <row r="29" spans="1:10" x14ac:dyDescent="0.2">
      <c r="A29" s="1" t="s">
        <v>429</v>
      </c>
      <c r="B29" s="2">
        <v>7.0833333333333331E-2</v>
      </c>
      <c r="C29" s="3">
        <v>39</v>
      </c>
      <c r="D29" s="13">
        <v>190</v>
      </c>
      <c r="E29" s="9">
        <v>22.9</v>
      </c>
      <c r="F29" s="13">
        <v>155</v>
      </c>
      <c r="G29" s="13">
        <f t="shared" si="0"/>
        <v>320</v>
      </c>
      <c r="H29" s="187" t="s">
        <v>90</v>
      </c>
      <c r="I29" s="134">
        <v>7</v>
      </c>
      <c r="J29" s="6" t="s">
        <v>393</v>
      </c>
    </row>
    <row r="30" spans="1:10" x14ac:dyDescent="0.2">
      <c r="A30" s="1" t="s">
        <v>310</v>
      </c>
      <c r="B30" s="2">
        <v>6.2002314814814809E-2</v>
      </c>
      <c r="C30" s="3">
        <v>34.4</v>
      </c>
      <c r="D30" s="13">
        <v>165</v>
      </c>
      <c r="E30" s="9">
        <v>23.1</v>
      </c>
      <c r="F30" s="13">
        <v>155</v>
      </c>
      <c r="G30" s="13">
        <f t="shared" si="0"/>
        <v>295</v>
      </c>
      <c r="H30" s="155" t="s">
        <v>90</v>
      </c>
      <c r="I30" s="133">
        <v>6</v>
      </c>
      <c r="J30" s="6" t="s">
        <v>5</v>
      </c>
    </row>
    <row r="31" spans="1:10" x14ac:dyDescent="0.2">
      <c r="A31" s="1" t="s">
        <v>422</v>
      </c>
      <c r="B31" s="2">
        <v>3.4861111111111114E-2</v>
      </c>
      <c r="C31" s="3">
        <v>12.55</v>
      </c>
      <c r="D31" s="13">
        <v>162</v>
      </c>
      <c r="E31" s="9">
        <v>15</v>
      </c>
      <c r="F31" s="13">
        <v>270</v>
      </c>
      <c r="G31" s="13">
        <f t="shared" si="0"/>
        <v>292</v>
      </c>
      <c r="H31" s="187" t="s">
        <v>90</v>
      </c>
      <c r="I31" s="133">
        <v>1</v>
      </c>
      <c r="J31" s="6" t="s">
        <v>6</v>
      </c>
    </row>
    <row r="32" spans="1:10" x14ac:dyDescent="0.2">
      <c r="A32" s="1" t="s">
        <v>308</v>
      </c>
      <c r="B32" s="2">
        <v>5.3773148148148153E-2</v>
      </c>
      <c r="C32" s="11">
        <v>29.8</v>
      </c>
      <c r="D32">
        <v>140</v>
      </c>
      <c r="E32" s="9">
        <v>23</v>
      </c>
      <c r="F32" s="13">
        <v>155</v>
      </c>
      <c r="G32" s="13">
        <f t="shared" si="0"/>
        <v>270</v>
      </c>
      <c r="H32" s="155" t="s">
        <v>90</v>
      </c>
      <c r="I32" s="133">
        <v>5</v>
      </c>
      <c r="J32" s="6" t="s">
        <v>5</v>
      </c>
    </row>
    <row r="33" spans="1:10" x14ac:dyDescent="0.2">
      <c r="A33" s="1" t="s">
        <v>302</v>
      </c>
      <c r="B33" s="2">
        <v>4.5451388888888888E-2</v>
      </c>
      <c r="C33" s="11">
        <v>25.2</v>
      </c>
      <c r="D33">
        <v>115</v>
      </c>
      <c r="E33" s="9">
        <v>23.1</v>
      </c>
      <c r="F33">
        <v>155</v>
      </c>
      <c r="G33" s="13">
        <f t="shared" si="0"/>
        <v>245</v>
      </c>
      <c r="H33" s="155" t="s">
        <v>90</v>
      </c>
      <c r="I33" s="133">
        <v>4</v>
      </c>
      <c r="J33" s="6" t="s">
        <v>5</v>
      </c>
    </row>
    <row r="34" spans="1:10" x14ac:dyDescent="0.2">
      <c r="A34" s="1" t="s">
        <v>297</v>
      </c>
      <c r="B34" s="2">
        <v>3.9560185185185184E-2</v>
      </c>
      <c r="C34" s="11">
        <v>20.6</v>
      </c>
      <c r="D34">
        <v>90</v>
      </c>
      <c r="E34" s="9">
        <v>21.7</v>
      </c>
      <c r="F34">
        <v>155</v>
      </c>
      <c r="G34" s="13">
        <f t="shared" si="0"/>
        <v>220</v>
      </c>
      <c r="H34" s="187" t="s">
        <v>90</v>
      </c>
      <c r="I34" s="133">
        <v>3</v>
      </c>
      <c r="J34" s="6" t="s">
        <v>5</v>
      </c>
    </row>
    <row r="35" spans="1:10" x14ac:dyDescent="0.2">
      <c r="A35" s="1" t="s">
        <v>299</v>
      </c>
      <c r="B35" s="2">
        <v>3.0335648148148143E-2</v>
      </c>
      <c r="C35" s="11">
        <v>16</v>
      </c>
      <c r="D35">
        <v>65</v>
      </c>
      <c r="E35" s="9">
        <v>21.9</v>
      </c>
      <c r="F35">
        <v>155</v>
      </c>
      <c r="G35" s="13">
        <f t="shared" si="0"/>
        <v>195</v>
      </c>
      <c r="H35" s="187" t="s">
        <v>90</v>
      </c>
      <c r="I35" s="133">
        <v>2</v>
      </c>
      <c r="J35" s="6" t="s">
        <v>5</v>
      </c>
    </row>
    <row r="36" spans="1:10" x14ac:dyDescent="0.2">
      <c r="A36" s="1" t="s">
        <v>298</v>
      </c>
      <c r="B36" s="2">
        <v>2.1817129629629631E-2</v>
      </c>
      <c r="C36" s="11">
        <v>11.4</v>
      </c>
      <c r="D36">
        <v>40</v>
      </c>
      <c r="E36" s="9">
        <v>21.8</v>
      </c>
      <c r="F36">
        <v>155</v>
      </c>
      <c r="G36" s="13">
        <f t="shared" si="0"/>
        <v>170</v>
      </c>
      <c r="H36" s="187" t="s">
        <v>90</v>
      </c>
      <c r="I36" s="133">
        <v>1</v>
      </c>
      <c r="J36" s="6" t="s">
        <v>5</v>
      </c>
    </row>
  </sheetData>
  <sortState xmlns:xlrd2="http://schemas.microsoft.com/office/spreadsheetml/2017/richdata2" ref="A2:J36">
    <sortCondition descending="1" ref="D1"/>
  </sortState>
  <phoneticPr fontId="9" type="noConversion"/>
  <conditionalFormatting sqref="E1:E1048576">
    <cfRule type="cellIs" dxfId="1417" priority="304" stopIfTrue="1" operator="between">
      <formula>0</formula>
      <formula>19.99</formula>
    </cfRule>
    <cfRule type="cellIs" dxfId="1416" priority="305" stopIfTrue="1" operator="between">
      <formula>10</formula>
      <formula>24.99</formula>
    </cfRule>
    <cfRule type="cellIs" dxfId="1415" priority="306" stopIfTrue="1" operator="between">
      <formula>25</formula>
      <formula>99.99</formula>
    </cfRule>
  </conditionalFormatting>
  <conditionalFormatting sqref="I1:I1048576">
    <cfRule type="cellIs" dxfId="1414" priority="28" operator="between">
      <formula>7</formula>
      <formula>99</formula>
    </cfRule>
    <cfRule type="cellIs" dxfId="1413" priority="106" operator="between">
      <formula>5</formula>
      <formula>6</formula>
    </cfRule>
    <cfRule type="cellIs" dxfId="1412" priority="107" operator="between">
      <formula>3</formula>
      <formula>4</formula>
    </cfRule>
    <cfRule type="cellIs" dxfId="1411" priority="108" operator="between">
      <formula>1</formula>
      <formula>2</formula>
    </cfRule>
  </conditionalFormatting>
  <conditionalFormatting sqref="J1:J1048576">
    <cfRule type="cellIs" dxfId="1410" priority="72" operator="equal">
      <formula>"FB"</formula>
    </cfRule>
    <cfRule type="cellIs" dxfId="1409" priority="73" stopIfTrue="1" operator="equal">
      <formula>"RR"</formula>
    </cfRule>
    <cfRule type="cellIs" dxfId="1408" priority="74" stopIfTrue="1" operator="equal">
      <formula>"MTB"</formula>
    </cfRule>
  </conditionalFormatting>
  <conditionalFormatting sqref="A1:A1048576">
    <cfRule type="expression" dxfId="1407" priority="69">
      <formula>J1="RR"</formula>
    </cfRule>
    <cfRule type="expression" dxfId="1406" priority="70">
      <formula>J1="FB"</formula>
    </cfRule>
    <cfRule type="expression" dxfId="1405" priority="71">
      <formula>J1="MTB"</formula>
    </cfRule>
  </conditionalFormatting>
  <conditionalFormatting sqref="H1:H1048576">
    <cfRule type="cellIs" dxfId="1404" priority="51" stopIfTrue="1" operator="equal">
      <formula>"Hunsrück"</formula>
    </cfRule>
    <cfRule type="cellIs" dxfId="1403" priority="52" stopIfTrue="1" operator="equal">
      <formula>"Fränkische Alb"</formula>
    </cfRule>
    <cfRule type="cellIs" dxfId="1402" priority="53" stopIfTrue="1" operator="equal">
      <formula>"Bayerischer Wald"</formula>
    </cfRule>
    <cfRule type="cellIs" dxfId="1401" priority="54" stopIfTrue="1" operator="equal">
      <formula>"Harz"</formula>
    </cfRule>
    <cfRule type="cellIs" dxfId="1400" priority="55" stopIfTrue="1" operator="equal">
      <formula>"Fichtelgebirge"</formula>
    </cfRule>
    <cfRule type="cellIs" dxfId="1399" priority="56" stopIfTrue="1" operator="equal">
      <formula>"Frankenwald"</formula>
    </cfRule>
    <cfRule type="cellIs" dxfId="1398" priority="57" stopIfTrue="1" operator="equal">
      <formula>"Thüringer Wald"</formula>
    </cfRule>
    <cfRule type="cellIs" dxfId="1397" priority="58" stopIfTrue="1" operator="equal">
      <formula>"Rothaargebirge"</formula>
    </cfRule>
    <cfRule type="cellIs" dxfId="1396" priority="59" stopIfTrue="1" operator="equal">
      <formula>"Schwäbische Alb"</formula>
    </cfRule>
    <cfRule type="cellIs" dxfId="1395" priority="60" stopIfTrue="1" operator="equal">
      <formula>"Alpen"</formula>
    </cfRule>
    <cfRule type="cellIs" dxfId="1394" priority="61" stopIfTrue="1" operator="equal">
      <formula>"Pfalz"</formula>
    </cfRule>
    <cfRule type="cellIs" dxfId="1393" priority="62" stopIfTrue="1" operator="equal">
      <formula>"Schwarzwald"</formula>
    </cfRule>
    <cfRule type="cellIs" dxfId="1392" priority="63" stopIfTrue="1" operator="equal">
      <formula>"Vogelsberg"</formula>
    </cfRule>
    <cfRule type="cellIs" dxfId="1391" priority="64" stopIfTrue="1" operator="equal">
      <formula>"Rhön"</formula>
    </cfRule>
    <cfRule type="cellIs" dxfId="1390" priority="65" stopIfTrue="1" operator="equal">
      <formula>"Schwarzwald"</formula>
    </cfRule>
    <cfRule type="cellIs" dxfId="1389" priority="66" stopIfTrue="1" operator="equal">
      <formula>"Taunus"</formula>
    </cfRule>
    <cfRule type="cellIs" dxfId="1388" priority="67" stopIfTrue="1" operator="equal">
      <formula>"Spessart"</formula>
    </cfRule>
    <cfRule type="cellIs" dxfId="1387" priority="68" stopIfTrue="1" operator="equal">
      <formula>"Odenwald"</formula>
    </cfRule>
  </conditionalFormatting>
  <conditionalFormatting sqref="G1:G1048576 D1:D1048576">
    <cfRule type="cellIs" dxfId="1386" priority="35" stopIfTrue="1" operator="between">
      <formula>0</formula>
      <formula>99.99</formula>
    </cfRule>
    <cfRule type="cellIs" dxfId="1385" priority="36" stopIfTrue="1" operator="between">
      <formula>100</formula>
      <formula>499.99</formula>
    </cfRule>
    <cfRule type="cellIs" dxfId="1384" priority="37" stopIfTrue="1" operator="between">
      <formula>500</formula>
      <formula>999.99</formula>
    </cfRule>
    <cfRule type="cellIs" dxfId="1383" priority="38" stopIfTrue="1" operator="between">
      <formula>1000</formula>
      <formula>1499.99</formula>
    </cfRule>
    <cfRule type="cellIs" dxfId="1382" priority="39" stopIfTrue="1" operator="between">
      <formula>1500</formula>
      <formula>1999.99</formula>
    </cfRule>
  </conditionalFormatting>
  <conditionalFormatting sqref="G1:G1048576 D1:D1048576">
    <cfRule type="cellIs" dxfId="1381" priority="40" stopIfTrue="1" operator="between">
      <formula>2000</formula>
      <formula>9999.99</formula>
    </cfRule>
  </conditionalFormatting>
  <conditionalFormatting sqref="B1:B1048576">
    <cfRule type="cellIs" dxfId="1380" priority="23" stopIfTrue="1" operator="between">
      <formula>0</formula>
      <formula>0.041666665</formula>
    </cfRule>
    <cfRule type="cellIs" dxfId="1379" priority="24" stopIfTrue="1" operator="between">
      <formula>0.0416666666666667</formula>
      <formula>0.124999884259259</formula>
    </cfRule>
    <cfRule type="cellIs" dxfId="1378" priority="25" stopIfTrue="1" operator="between">
      <formula>0.125</formula>
      <formula>0.166666550925926</formula>
    </cfRule>
    <cfRule type="cellIs" dxfId="1377" priority="26" stopIfTrue="1" operator="between">
      <formula>0.0833333333333333</formula>
      <formula>0.208333217592593</formula>
    </cfRule>
    <cfRule type="cellIs" dxfId="1376" priority="27" stopIfTrue="1" operator="between">
      <formula>0.208333333333333</formula>
      <formula>4.16666655092593</formula>
    </cfRule>
  </conditionalFormatting>
  <conditionalFormatting sqref="F1:F1048576">
    <cfRule type="cellIs" dxfId="1375" priority="17" stopIfTrue="1" operator="between">
      <formula>0</formula>
      <formula>399.99</formula>
    </cfRule>
    <cfRule type="cellIs" dxfId="1374" priority="18" stopIfTrue="1" operator="between">
      <formula>400</formula>
      <formula>449.99</formula>
    </cfRule>
    <cfRule type="cellIs" dxfId="1373" priority="19" stopIfTrue="1" operator="between">
      <formula>450</formula>
      <formula>499.99</formula>
    </cfRule>
    <cfRule type="cellIs" dxfId="1372" priority="20" stopIfTrue="1" operator="between">
      <formula>500</formula>
      <formula>549.99</formula>
    </cfRule>
    <cfRule type="cellIs" dxfId="1371" priority="21" stopIfTrue="1" operator="between">
      <formula>550</formula>
      <formula>599.99</formula>
    </cfRule>
  </conditionalFormatting>
  <conditionalFormatting sqref="F1:F1048576">
    <cfRule type="cellIs" dxfId="1370" priority="22" stopIfTrue="1" operator="between">
      <formula>600</formula>
      <formula>9999.99</formula>
    </cfRule>
  </conditionalFormatting>
  <conditionalFormatting sqref="C1:C1048576">
    <cfRule type="cellIs" dxfId="1369" priority="7" stopIfTrue="1" operator="between">
      <formula>0</formula>
      <formula>19.99</formula>
    </cfRule>
    <cfRule type="cellIs" dxfId="1368" priority="8" stopIfTrue="1" operator="between">
      <formula>20</formula>
      <formula>49.99</formula>
    </cfRule>
    <cfRule type="cellIs" dxfId="1367" priority="9" stopIfTrue="1" operator="between">
      <formula>50</formula>
      <formula>99.9999</formula>
    </cfRule>
    <cfRule type="cellIs" dxfId="1366" priority="10" stopIfTrue="1" operator="between">
      <formula>100</formula>
      <formula>9999</formula>
    </cfRule>
  </conditionalFormatting>
  <hyperlinks>
    <hyperlink ref="A1" r:id="rId1" tooltip="Normalstartpunkt für Touren ohne Anfahrt" xr:uid="{00000000-0004-0000-0900-000000000000}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0" bestFit="1" customWidth="1"/>
    <col min="10" max="10" width="8.140625" style="2" customWidth="1"/>
    <col min="11" max="11" width="6.85546875" style="12" customWidth="1"/>
  </cols>
  <sheetData>
    <row r="1" spans="1:11" s="21" customFormat="1" x14ac:dyDescent="0.2">
      <c r="A1" s="29" t="s">
        <v>55</v>
      </c>
      <c r="B1" s="22" t="s">
        <v>0</v>
      </c>
      <c r="C1" s="192" t="s">
        <v>238</v>
      </c>
      <c r="D1" s="305" t="s">
        <v>2</v>
      </c>
      <c r="E1" s="23" t="s">
        <v>237</v>
      </c>
      <c r="F1" s="42" t="s">
        <v>24</v>
      </c>
      <c r="G1" s="21" t="s">
        <v>1</v>
      </c>
      <c r="H1" s="24" t="s">
        <v>3</v>
      </c>
      <c r="I1" s="24" t="s">
        <v>433</v>
      </c>
      <c r="J1" s="22" t="s">
        <v>4</v>
      </c>
      <c r="K1" s="23" t="s">
        <v>238</v>
      </c>
    </row>
    <row r="2" spans="1:11" x14ac:dyDescent="0.2">
      <c r="A2" s="1" t="s">
        <v>499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37" t="s">
        <v>434</v>
      </c>
      <c r="J2" s="2">
        <v>2.0833333333333332E-2</v>
      </c>
      <c r="K2" s="12">
        <v>30</v>
      </c>
    </row>
    <row r="3" spans="1:11" x14ac:dyDescent="0.2">
      <c r="A3" s="1" t="s">
        <v>539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37" t="s">
        <v>434</v>
      </c>
      <c r="J3" s="2">
        <v>2.0833333333333332E-2</v>
      </c>
      <c r="K3" s="12">
        <v>30</v>
      </c>
    </row>
    <row r="4" spans="1:11" x14ac:dyDescent="0.2">
      <c r="A4" s="1" t="s">
        <v>49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194" t="s">
        <v>435</v>
      </c>
      <c r="J4" s="17">
        <v>1.0416666666666666E-2</v>
      </c>
      <c r="K4" s="20">
        <v>18</v>
      </c>
    </row>
    <row r="5" spans="1:11" x14ac:dyDescent="0.2">
      <c r="A5" s="1" t="s">
        <v>520</v>
      </c>
      <c r="B5" s="2">
        <v>0.17927083333333335</v>
      </c>
      <c r="C5" s="3">
        <v>102.45</v>
      </c>
      <c r="D5" s="72">
        <v>1440</v>
      </c>
      <c r="E5" s="4">
        <v>23.8</v>
      </c>
      <c r="F5" s="5">
        <v>129</v>
      </c>
      <c r="G5" s="13">
        <v>581</v>
      </c>
      <c r="H5" s="6" t="s">
        <v>5</v>
      </c>
      <c r="I5" s="137" t="s">
        <v>434</v>
      </c>
      <c r="J5" s="2">
        <v>3.472222222222222E-3</v>
      </c>
      <c r="K5" s="12">
        <v>3.3</v>
      </c>
    </row>
    <row r="6" spans="1:11" x14ac:dyDescent="0.2">
      <c r="A6" s="1" t="s">
        <v>168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194" t="s">
        <v>435</v>
      </c>
      <c r="J6" s="2">
        <v>1.3888888888888888E-2</v>
      </c>
      <c r="K6" s="12">
        <v>20</v>
      </c>
    </row>
    <row r="7" spans="1:11" x14ac:dyDescent="0.2">
      <c r="A7" s="1" t="s">
        <v>716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37" t="s">
        <v>519</v>
      </c>
      <c r="J7" s="2">
        <v>0</v>
      </c>
      <c r="K7" s="12">
        <v>0</v>
      </c>
    </row>
    <row r="8" spans="1:11" x14ac:dyDescent="0.2">
      <c r="A8" s="1" t="s">
        <v>443</v>
      </c>
      <c r="B8" s="2">
        <v>0.17422453703703702</v>
      </c>
      <c r="C8" s="106">
        <v>96.42</v>
      </c>
      <c r="D8" s="13">
        <v>1385</v>
      </c>
      <c r="E8" s="9">
        <v>23</v>
      </c>
      <c r="F8" s="5">
        <v>140</v>
      </c>
      <c r="G8" s="13">
        <v>586</v>
      </c>
      <c r="H8" s="191" t="s">
        <v>5</v>
      </c>
      <c r="I8" s="137" t="s">
        <v>434</v>
      </c>
      <c r="J8" s="2">
        <v>2.0833333333333332E-2</v>
      </c>
      <c r="K8" s="12">
        <v>30</v>
      </c>
    </row>
    <row r="9" spans="1:11" x14ac:dyDescent="0.2">
      <c r="A9" s="1" t="s">
        <v>521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191" t="s">
        <v>5</v>
      </c>
      <c r="I9" s="137" t="s">
        <v>434</v>
      </c>
      <c r="J9" s="2">
        <v>2.0833333333333332E-2</v>
      </c>
      <c r="K9" s="12">
        <v>30</v>
      </c>
    </row>
    <row r="10" spans="1:11" x14ac:dyDescent="0.2">
      <c r="A10" s="1" t="s">
        <v>46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194" t="s">
        <v>435</v>
      </c>
      <c r="J10" s="17">
        <v>4.1666666666666664E-2</v>
      </c>
      <c r="K10" s="20">
        <v>80</v>
      </c>
    </row>
    <row r="11" spans="1:11" x14ac:dyDescent="0.2">
      <c r="A11" s="1" t="s">
        <v>186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194" t="s">
        <v>434</v>
      </c>
      <c r="J11" s="2">
        <v>2.0833333333333332E-2</v>
      </c>
      <c r="K11" s="12">
        <v>30</v>
      </c>
    </row>
    <row r="12" spans="1:11" x14ac:dyDescent="0.2">
      <c r="A12" s="1" t="s">
        <v>169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194" t="s">
        <v>434</v>
      </c>
      <c r="J12" s="17">
        <v>2.0833333333333332E-2</v>
      </c>
      <c r="K12" s="20">
        <v>30</v>
      </c>
    </row>
    <row r="13" spans="1:11" x14ac:dyDescent="0.2">
      <c r="A13" s="1" t="s">
        <v>163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193" t="s">
        <v>5</v>
      </c>
      <c r="I13" s="194" t="s">
        <v>435</v>
      </c>
      <c r="J13" s="2">
        <v>0</v>
      </c>
      <c r="K13" s="12">
        <v>0</v>
      </c>
    </row>
    <row r="14" spans="1:11" x14ac:dyDescent="0.2">
      <c r="A14" s="1" t="s">
        <v>170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194" t="s">
        <v>434</v>
      </c>
      <c r="J14" s="2">
        <v>4.1666666666666664E-2</v>
      </c>
      <c r="K14" s="12">
        <v>70</v>
      </c>
    </row>
    <row r="15" spans="1:11" x14ac:dyDescent="0.2">
      <c r="A15" s="1" t="s">
        <v>231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194" t="s">
        <v>436</v>
      </c>
      <c r="J15" s="2">
        <v>6.9444444444444441E-3</v>
      </c>
      <c r="K15" s="12">
        <v>10</v>
      </c>
    </row>
    <row r="16" spans="1:11" x14ac:dyDescent="0.2">
      <c r="A16" s="1" t="s">
        <v>172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194" t="s">
        <v>434</v>
      </c>
      <c r="J16" s="2">
        <v>0</v>
      </c>
      <c r="K16" s="12">
        <v>0</v>
      </c>
    </row>
    <row r="17" spans="1:11" x14ac:dyDescent="0.2">
      <c r="A17" s="1" t="s">
        <v>171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194" t="s">
        <v>434</v>
      </c>
      <c r="J17" s="2">
        <v>2.7083333333333334E-2</v>
      </c>
      <c r="K17" s="12">
        <v>37</v>
      </c>
    </row>
    <row r="18" spans="1:11" x14ac:dyDescent="0.2">
      <c r="A18" s="1" t="s">
        <v>662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37" t="s">
        <v>434</v>
      </c>
      <c r="J18" s="2">
        <v>2.0833333333333332E-2</v>
      </c>
      <c r="K18" s="12">
        <v>30</v>
      </c>
    </row>
    <row r="19" spans="1:11" x14ac:dyDescent="0.2">
      <c r="A19" s="1" t="s">
        <v>706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194" t="s">
        <v>636</v>
      </c>
      <c r="J19" s="2">
        <v>0</v>
      </c>
      <c r="K19" s="12">
        <v>0</v>
      </c>
    </row>
    <row r="20" spans="1:11" x14ac:dyDescent="0.2">
      <c r="A20" s="1" t="s">
        <v>725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639</v>
      </c>
      <c r="I20" s="194" t="s">
        <v>519</v>
      </c>
      <c r="J20" s="2">
        <v>0</v>
      </c>
      <c r="K20" s="12">
        <v>0</v>
      </c>
    </row>
    <row r="21" spans="1:11" x14ac:dyDescent="0.2">
      <c r="A21" s="1" t="s">
        <v>522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37" t="s">
        <v>519</v>
      </c>
      <c r="J21" s="2">
        <v>7.9861111111111105E-2</v>
      </c>
      <c r="K21" s="12">
        <v>155</v>
      </c>
    </row>
    <row r="22" spans="1:11" x14ac:dyDescent="0.2">
      <c r="A22" s="1" t="s">
        <v>432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194" t="s">
        <v>436</v>
      </c>
      <c r="J22" s="2">
        <v>0</v>
      </c>
      <c r="K22" s="12">
        <v>0</v>
      </c>
    </row>
    <row r="23" spans="1:11" x14ac:dyDescent="0.2">
      <c r="A23" s="1" t="s">
        <v>637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37" t="s">
        <v>636</v>
      </c>
      <c r="J23" s="2">
        <v>0</v>
      </c>
      <c r="K23" s="12">
        <v>0</v>
      </c>
    </row>
    <row r="24" spans="1:11" x14ac:dyDescent="0.2">
      <c r="A24" s="1" t="s">
        <v>212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195" t="s">
        <v>436</v>
      </c>
      <c r="J24" s="2">
        <v>0</v>
      </c>
      <c r="K24" s="12">
        <v>0</v>
      </c>
    </row>
    <row r="25" spans="1:11" x14ac:dyDescent="0.2">
      <c r="A25" s="1" t="s">
        <v>518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6" t="s">
        <v>393</v>
      </c>
      <c r="I25" s="196" t="s">
        <v>519</v>
      </c>
      <c r="J25" s="2">
        <v>0</v>
      </c>
      <c r="K25" s="12">
        <v>0</v>
      </c>
    </row>
    <row r="26" spans="1:11" x14ac:dyDescent="0.2">
      <c r="A26" s="1" t="s">
        <v>240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194" t="s">
        <v>434</v>
      </c>
      <c r="J26" s="2">
        <v>2.2916666666666669E-2</v>
      </c>
      <c r="K26" s="12">
        <v>35.299999999999997</v>
      </c>
    </row>
    <row r="27" spans="1:11" x14ac:dyDescent="0.2">
      <c r="A27" s="1" t="s">
        <v>183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194" t="s">
        <v>434</v>
      </c>
      <c r="J27" s="2">
        <v>2.7083333333333334E-2</v>
      </c>
      <c r="K27" s="12">
        <v>37</v>
      </c>
    </row>
    <row r="28" spans="1:11" x14ac:dyDescent="0.2">
      <c r="A28" s="1" t="s">
        <v>249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194" t="s">
        <v>434</v>
      </c>
      <c r="J28" s="2">
        <v>0</v>
      </c>
      <c r="K28" s="12">
        <v>0</v>
      </c>
    </row>
    <row r="29" spans="1:11" x14ac:dyDescent="0.2">
      <c r="A29" s="1" t="s">
        <v>165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194" t="s">
        <v>435</v>
      </c>
      <c r="J29" s="2">
        <v>0</v>
      </c>
      <c r="K29" s="12">
        <v>0</v>
      </c>
    </row>
    <row r="30" spans="1:11" x14ac:dyDescent="0.2">
      <c r="A30" s="1" t="s">
        <v>164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194" t="s">
        <v>435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37"/>
    </row>
    <row r="32" spans="1:11" x14ac:dyDescent="0.2">
      <c r="A32" s="1"/>
      <c r="C32" s="3"/>
      <c r="D32" s="13"/>
      <c r="E32" s="4"/>
      <c r="G32" s="13"/>
      <c r="I32" s="137"/>
    </row>
    <row r="33" spans="1:9" x14ac:dyDescent="0.2">
      <c r="A33" s="1"/>
      <c r="D33" s="13"/>
      <c r="E33" s="4"/>
      <c r="G33" s="13"/>
      <c r="I33" s="137"/>
    </row>
    <row r="34" spans="1:9" x14ac:dyDescent="0.2">
      <c r="A34" s="1"/>
      <c r="G34" s="13"/>
      <c r="I34" s="137"/>
    </row>
    <row r="35" spans="1:9" x14ac:dyDescent="0.2">
      <c r="A35" s="1"/>
      <c r="G35" s="13"/>
      <c r="I35" s="137"/>
    </row>
    <row r="36" spans="1:9" x14ac:dyDescent="0.2">
      <c r="A36" s="1"/>
      <c r="G36" s="13"/>
      <c r="I36" s="137"/>
    </row>
    <row r="37" spans="1:9" x14ac:dyDescent="0.2">
      <c r="A37" s="1"/>
      <c r="I37" s="137"/>
    </row>
    <row r="38" spans="1:9" x14ac:dyDescent="0.2">
      <c r="I38" s="137"/>
    </row>
    <row r="39" spans="1:9" x14ac:dyDescent="0.2">
      <c r="E39" s="4"/>
      <c r="I39" s="137"/>
    </row>
    <row r="42" spans="1:9" x14ac:dyDescent="0.2">
      <c r="E42" s="4"/>
    </row>
  </sheetData>
  <sortState xmlns:xlrd2="http://schemas.microsoft.com/office/spreadsheetml/2017/richdata2" ref="A2:L30">
    <sortCondition descending="1" ref="D1"/>
  </sortState>
  <phoneticPr fontId="9" type="noConversion"/>
  <conditionalFormatting sqref="E1:E1048576">
    <cfRule type="cellIs" dxfId="1365" priority="107" stopIfTrue="1" operator="between">
      <formula>0</formula>
      <formula>19.99</formula>
    </cfRule>
    <cfRule type="cellIs" dxfId="1364" priority="108" stopIfTrue="1" operator="between">
      <formula>20</formula>
      <formula>24.99</formula>
    </cfRule>
    <cfRule type="cellIs" dxfId="1363" priority="109" stopIfTrue="1" operator="between">
      <formula>25</formula>
      <formula>99.99</formula>
    </cfRule>
  </conditionalFormatting>
  <conditionalFormatting sqref="J1:J1048576">
    <cfRule type="cellIs" dxfId="1362" priority="95" operator="equal">
      <formula>0</formula>
    </cfRule>
    <cfRule type="cellIs" dxfId="1361" priority="96" stopIfTrue="1" operator="between">
      <formula>0.0000115740740740741</formula>
      <formula>0.0416550925925926</formula>
    </cfRule>
    <cfRule type="cellIs" dxfId="1360" priority="97" stopIfTrue="1" operator="between">
      <formula>0.0416666666666667</formula>
      <formula>0.0833217592592593</formula>
    </cfRule>
    <cfRule type="cellIs" dxfId="1359" priority="98" stopIfTrue="1" operator="between">
      <formula>0.0833333333333333</formula>
      <formula>4.16665509259259</formula>
    </cfRule>
  </conditionalFormatting>
  <conditionalFormatting sqref="K1:K1048576">
    <cfRule type="cellIs" dxfId="1358" priority="91" operator="equal">
      <formula>0</formula>
    </cfRule>
    <cfRule type="cellIs" dxfId="1357" priority="92" stopIfTrue="1" operator="between">
      <formula>0.1</formula>
      <formula>99.9</formula>
    </cfRule>
    <cfRule type="cellIs" dxfId="1356" priority="93" stopIfTrue="1" operator="between">
      <formula>100</formula>
      <formula>199.9</formula>
    </cfRule>
    <cfRule type="cellIs" dxfId="1355" priority="94" stopIfTrue="1" operator="between">
      <formula>200</formula>
      <formula>9999</formula>
    </cfRule>
  </conditionalFormatting>
  <conditionalFormatting sqref="I1:I1048576">
    <cfRule type="cellIs" dxfId="1354" priority="25" operator="equal">
      <formula>"WB"</formula>
    </cfRule>
    <cfRule type="cellIs" dxfId="1353" priority="40" operator="equal">
      <formula>"BB"</formula>
    </cfRule>
    <cfRule type="cellIs" dxfId="1352" priority="44" operator="equal">
      <formula>"EB"</formula>
    </cfRule>
    <cfRule type="cellIs" dxfId="1351" priority="45" operator="equal">
      <formula>"SB"</formula>
    </cfRule>
    <cfRule type="cellIs" dxfId="1350" priority="46" operator="equal">
      <formula>"AB"</formula>
    </cfRule>
  </conditionalFormatting>
  <conditionalFormatting sqref="B1:B1048576">
    <cfRule type="cellIs" dxfId="1349" priority="35" stopIfTrue="1" operator="between">
      <formula>0</formula>
      <formula>0.041666665</formula>
    </cfRule>
    <cfRule type="cellIs" dxfId="1348" priority="36" stopIfTrue="1" operator="between">
      <formula>0.0416666666666667</formula>
      <formula>0.124999884259259</formula>
    </cfRule>
    <cfRule type="cellIs" dxfId="1347" priority="37" stopIfTrue="1" operator="between">
      <formula>0.125</formula>
      <formula>0.166666550925926</formula>
    </cfRule>
    <cfRule type="cellIs" dxfId="1346" priority="38" stopIfTrue="1" operator="between">
      <formula>0.0833333333333333</formula>
      <formula>0.208333217592593</formula>
    </cfRule>
    <cfRule type="cellIs" dxfId="1345" priority="39" stopIfTrue="1" operator="between">
      <formula>0.208333333333333</formula>
      <formula>4.16666655092593</formula>
    </cfRule>
  </conditionalFormatting>
  <conditionalFormatting sqref="G1:G1048576">
    <cfRule type="cellIs" dxfId="1344" priority="29" stopIfTrue="1" operator="between">
      <formula>0</formula>
      <formula>399.99</formula>
    </cfRule>
    <cfRule type="cellIs" dxfId="1343" priority="30" stopIfTrue="1" operator="between">
      <formula>400</formula>
      <formula>449.99</formula>
    </cfRule>
    <cfRule type="cellIs" dxfId="1342" priority="31" stopIfTrue="1" operator="between">
      <formula>450</formula>
      <formula>499.99</formula>
    </cfRule>
    <cfRule type="cellIs" dxfId="1341" priority="32" stopIfTrue="1" operator="between">
      <formula>500</formula>
      <formula>549.99</formula>
    </cfRule>
    <cfRule type="cellIs" dxfId="1340" priority="33" stopIfTrue="1" operator="between">
      <formula>550</formula>
      <formula>599.99</formula>
    </cfRule>
  </conditionalFormatting>
  <conditionalFormatting sqref="G1:G1048576">
    <cfRule type="cellIs" dxfId="1339" priority="34" stopIfTrue="1" operator="between">
      <formula>600</formula>
      <formula>9999.99</formula>
    </cfRule>
  </conditionalFormatting>
  <conditionalFormatting sqref="F1:F1048576">
    <cfRule type="cellIs" dxfId="1338" priority="26" stopIfTrue="1" operator="between">
      <formula>0</formula>
      <formula>199.99</formula>
    </cfRule>
    <cfRule type="cellIs" dxfId="1337" priority="27" stopIfTrue="1" operator="between">
      <formula>200</formula>
      <formula>399.99</formula>
    </cfRule>
    <cfRule type="cellIs" dxfId="1336" priority="28" stopIfTrue="1" operator="between">
      <formula>400</formula>
      <formula>9999.99</formula>
    </cfRule>
  </conditionalFormatting>
  <conditionalFormatting sqref="H1:H1048576">
    <cfRule type="cellIs" dxfId="1335" priority="15" stopIfTrue="1" operator="equal">
      <formula>"CR"</formula>
    </cfRule>
    <cfRule type="cellIs" dxfId="1334" priority="16" stopIfTrue="1" operator="equal">
      <formula>"FB"</formula>
    </cfRule>
    <cfRule type="cellIs" dxfId="1333" priority="17" stopIfTrue="1" operator="equal">
      <formula>"RR"</formula>
    </cfRule>
    <cfRule type="cellIs" dxfId="1332" priority="18" stopIfTrue="1" operator="equal">
      <formula>"MTB"</formula>
    </cfRule>
  </conditionalFormatting>
  <conditionalFormatting sqref="A1:A1048576">
    <cfRule type="expression" dxfId="1331" priority="11" stopIfTrue="1">
      <formula>H1="CR"</formula>
    </cfRule>
    <cfRule type="expression" dxfId="1330" priority="12" stopIfTrue="1">
      <formula>H1="RR"</formula>
    </cfRule>
    <cfRule type="expression" dxfId="1329" priority="13" stopIfTrue="1">
      <formula>H1="FB"</formula>
    </cfRule>
    <cfRule type="expression" dxfId="1328" priority="14">
      <formula>H1="MTB"</formula>
    </cfRule>
  </conditionalFormatting>
  <conditionalFormatting sqref="C1:C1048576">
    <cfRule type="cellIs" dxfId="1327" priority="7" stopIfTrue="1" operator="between">
      <formula>0</formula>
      <formula>19.99</formula>
    </cfRule>
    <cfRule type="cellIs" dxfId="1326" priority="8" stopIfTrue="1" operator="between">
      <formula>20</formula>
      <formula>49.99</formula>
    </cfRule>
    <cfRule type="cellIs" dxfId="1325" priority="9" stopIfTrue="1" operator="between">
      <formula>50</formula>
      <formula>99.9999</formula>
    </cfRule>
    <cfRule type="cellIs" dxfId="1324" priority="10" stopIfTrue="1" operator="between">
      <formula>100</formula>
      <formula>9999</formula>
    </cfRule>
  </conditionalFormatting>
  <conditionalFormatting sqref="D1:D1048576">
    <cfRule type="cellIs" dxfId="1323" priority="1" stopIfTrue="1" operator="between">
      <formula>0</formula>
      <formula>99.99</formula>
    </cfRule>
    <cfRule type="cellIs" dxfId="1322" priority="2" stopIfTrue="1" operator="between">
      <formula>100</formula>
      <formula>499.99</formula>
    </cfRule>
    <cfRule type="cellIs" dxfId="1321" priority="3" stopIfTrue="1" operator="between">
      <formula>500</formula>
      <formula>999.99</formula>
    </cfRule>
    <cfRule type="cellIs" dxfId="1320" priority="4" stopIfTrue="1" operator="between">
      <formula>1000</formula>
      <formula>1499.99</formula>
    </cfRule>
    <cfRule type="cellIs" dxfId="1319" priority="5" stopIfTrue="1" operator="between">
      <formula>1500</formula>
      <formula>1999.99</formula>
    </cfRule>
  </conditionalFormatting>
  <conditionalFormatting sqref="D1:D1048576">
    <cfRule type="cellIs" dxfId="1318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A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21" customFormat="1" x14ac:dyDescent="0.2">
      <c r="A1" s="29"/>
      <c r="B1" s="22" t="s">
        <v>0</v>
      </c>
      <c r="C1" s="306" t="s">
        <v>238</v>
      </c>
      <c r="D1" s="21" t="s">
        <v>2</v>
      </c>
      <c r="E1" s="23" t="s">
        <v>237</v>
      </c>
      <c r="F1" s="42" t="s">
        <v>24</v>
      </c>
      <c r="G1" s="24" t="s">
        <v>1</v>
      </c>
      <c r="H1" s="24" t="s">
        <v>3</v>
      </c>
      <c r="I1" s="22" t="s">
        <v>4</v>
      </c>
      <c r="J1" s="23" t="s">
        <v>238</v>
      </c>
      <c r="K1" s="42" t="s">
        <v>279</v>
      </c>
      <c r="L1" s="23" t="s">
        <v>280</v>
      </c>
      <c r="M1" s="21" t="s">
        <v>35</v>
      </c>
      <c r="N1" s="21" t="s">
        <v>36</v>
      </c>
    </row>
    <row r="2" spans="1:14" x14ac:dyDescent="0.2">
      <c r="A2" s="1" t="s">
        <v>155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29" t="s">
        <v>281</v>
      </c>
      <c r="M2" s="7" t="s">
        <v>20</v>
      </c>
      <c r="N2" s="7" t="s">
        <v>43</v>
      </c>
    </row>
    <row r="3" spans="1:14" x14ac:dyDescent="0.2">
      <c r="A3" s="1" t="s">
        <v>444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282</v>
      </c>
      <c r="M3" s="7" t="s">
        <v>20</v>
      </c>
      <c r="N3" s="7"/>
    </row>
    <row r="4" spans="1:14" x14ac:dyDescent="0.2">
      <c r="A4" s="1" t="s">
        <v>258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29" t="s">
        <v>282</v>
      </c>
      <c r="M4" s="7" t="s">
        <v>20</v>
      </c>
      <c r="N4" s="7"/>
    </row>
    <row r="5" spans="1:14" x14ac:dyDescent="0.2">
      <c r="A5" s="1" t="s">
        <v>278</v>
      </c>
      <c r="B5" s="2">
        <v>0.19357638888888887</v>
      </c>
      <c r="C5" s="3">
        <v>115</v>
      </c>
      <c r="D5" s="72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29" t="s">
        <v>282</v>
      </c>
      <c r="M5" s="7" t="s">
        <v>20</v>
      </c>
    </row>
    <row r="6" spans="1:14" x14ac:dyDescent="0.2">
      <c r="A6" s="1" t="s">
        <v>156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29" t="s">
        <v>282</v>
      </c>
      <c r="M6" s="7" t="s">
        <v>20</v>
      </c>
    </row>
    <row r="7" spans="1:14" x14ac:dyDescent="0.2">
      <c r="A7" s="1" t="s">
        <v>166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29" t="s">
        <v>282</v>
      </c>
      <c r="M7" s="7" t="s">
        <v>20</v>
      </c>
      <c r="N7" s="7"/>
    </row>
    <row r="8" spans="1:14" x14ac:dyDescent="0.2">
      <c r="A8" s="1" t="s">
        <v>76</v>
      </c>
      <c r="B8" s="2">
        <v>0.16899305555555555</v>
      </c>
      <c r="C8" s="106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29" t="s">
        <v>282</v>
      </c>
      <c r="M8" s="7" t="s">
        <v>20</v>
      </c>
    </row>
    <row r="9" spans="1:14" x14ac:dyDescent="0.2">
      <c r="A9" s="1" t="s">
        <v>77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29" t="s">
        <v>282</v>
      </c>
      <c r="M9" s="7" t="s">
        <v>20</v>
      </c>
    </row>
    <row r="10" spans="1:14" x14ac:dyDescent="0.2">
      <c r="A10" s="1" t="s">
        <v>78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29" t="s">
        <v>283</v>
      </c>
      <c r="M10" s="7" t="s">
        <v>20</v>
      </c>
    </row>
    <row r="11" spans="1:14" x14ac:dyDescent="0.2">
      <c r="A11" s="1" t="s">
        <v>584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191" t="s">
        <v>5</v>
      </c>
      <c r="I11" s="2">
        <v>0</v>
      </c>
      <c r="J11" s="12">
        <v>0</v>
      </c>
      <c r="K11" s="5">
        <v>2013</v>
      </c>
      <c r="L11" s="129" t="s">
        <v>282</v>
      </c>
      <c r="M11" s="7" t="s">
        <v>20</v>
      </c>
    </row>
    <row r="12" spans="1:14" x14ac:dyDescent="0.2">
      <c r="A12" s="1" t="s">
        <v>255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29" t="s">
        <v>282</v>
      </c>
      <c r="M12" s="7" t="s">
        <v>20</v>
      </c>
      <c r="N12" s="7"/>
    </row>
    <row r="13" spans="1:14" x14ac:dyDescent="0.2">
      <c r="A13" s="1" t="s">
        <v>79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28">
        <v>2007</v>
      </c>
      <c r="L13" s="130" t="s">
        <v>283</v>
      </c>
      <c r="M13" s="7" t="s">
        <v>20</v>
      </c>
      <c r="N13" s="7" t="s">
        <v>43</v>
      </c>
    </row>
    <row r="14" spans="1:14" x14ac:dyDescent="0.2">
      <c r="A14" s="1" t="s">
        <v>80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28">
        <v>2007</v>
      </c>
      <c r="L14" s="130" t="s">
        <v>283</v>
      </c>
      <c r="M14" s="7" t="s">
        <v>20</v>
      </c>
      <c r="N14" s="7"/>
    </row>
    <row r="15" spans="1:14" x14ac:dyDescent="0.2">
      <c r="A15" s="1" t="s">
        <v>81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28">
        <v>2006</v>
      </c>
      <c r="L15" s="130" t="s">
        <v>283</v>
      </c>
      <c r="M15" s="7" t="s">
        <v>20</v>
      </c>
      <c r="N15" s="7" t="s">
        <v>43</v>
      </c>
    </row>
    <row r="16" spans="1:14" x14ac:dyDescent="0.2">
      <c r="A16" s="1" t="s">
        <v>288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289</v>
      </c>
      <c r="M16" s="7" t="s">
        <v>20</v>
      </c>
      <c r="N16" s="7" t="s">
        <v>43</v>
      </c>
    </row>
    <row r="17" spans="1:13" x14ac:dyDescent="0.2">
      <c r="A17" s="1" t="s">
        <v>82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29" t="s">
        <v>283</v>
      </c>
      <c r="M17" s="7" t="s">
        <v>20</v>
      </c>
    </row>
    <row r="18" spans="1:13" x14ac:dyDescent="0.2">
      <c r="A18" s="1" t="s">
        <v>367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368</v>
      </c>
      <c r="M18" s="68" t="s">
        <v>20</v>
      </c>
    </row>
    <row r="19" spans="1:13" x14ac:dyDescent="0.2">
      <c r="A19" s="1" t="s">
        <v>205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72">
        <v>160</v>
      </c>
      <c r="H19" s="6" t="s">
        <v>5</v>
      </c>
      <c r="I19" s="2">
        <v>0</v>
      </c>
      <c r="J19" s="12">
        <v>0</v>
      </c>
      <c r="K19" s="5">
        <v>2008</v>
      </c>
      <c r="L19" s="129" t="s">
        <v>284</v>
      </c>
      <c r="M19" s="7" t="s">
        <v>20</v>
      </c>
    </row>
    <row r="20" spans="1:13" x14ac:dyDescent="0.2">
      <c r="A20" s="1" t="s">
        <v>950</v>
      </c>
      <c r="B20" s="2">
        <v>2.8472222222222222E-2</v>
      </c>
      <c r="C20" s="14">
        <v>20</v>
      </c>
      <c r="D20" s="13">
        <v>50</v>
      </c>
      <c r="E20" s="9">
        <v>29.268292682926827</v>
      </c>
      <c r="F20" s="5">
        <v>130</v>
      </c>
      <c r="G20" s="8">
        <v>156</v>
      </c>
      <c r="H20" s="6" t="s">
        <v>393</v>
      </c>
      <c r="I20" s="2">
        <v>0</v>
      </c>
      <c r="J20" s="12">
        <v>0</v>
      </c>
      <c r="K20" s="5">
        <v>2021</v>
      </c>
      <c r="L20" s="129" t="s">
        <v>284</v>
      </c>
      <c r="M20" s="7" t="s">
        <v>20</v>
      </c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6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xmlns:xlrd2="http://schemas.microsoft.com/office/spreadsheetml/2017/richdata2" ref="A2:N20">
    <sortCondition descending="1" ref="C1:C20"/>
  </sortState>
  <phoneticPr fontId="9" type="noConversion"/>
  <conditionalFormatting sqref="I1:I1048576">
    <cfRule type="cellIs" dxfId="1317" priority="82" operator="equal">
      <formula>0</formula>
    </cfRule>
    <cfRule type="cellIs" dxfId="1316" priority="284" stopIfTrue="1" operator="between">
      <formula>0.0000115740740740741</formula>
      <formula>0.0416550925925926</formula>
    </cfRule>
    <cfRule type="cellIs" dxfId="1315" priority="285" stopIfTrue="1" operator="between">
      <formula>0.0416666666666667</formula>
      <formula>0.0833217592592593</formula>
    </cfRule>
    <cfRule type="cellIs" dxfId="1314" priority="286" stopIfTrue="1" operator="between">
      <formula>0.0833333333333333</formula>
      <formula>4.16665509259259</formula>
    </cfRule>
  </conditionalFormatting>
  <conditionalFormatting sqref="E1:E1048576">
    <cfRule type="cellIs" dxfId="1313" priority="72" stopIfTrue="1" operator="between">
      <formula>0</formula>
      <formula>19.99</formula>
    </cfRule>
    <cfRule type="cellIs" dxfId="1312" priority="73" stopIfTrue="1" operator="between">
      <formula>20</formula>
      <formula>24.99</formula>
    </cfRule>
    <cfRule type="cellIs" dxfId="1311" priority="74" stopIfTrue="1" operator="between">
      <formula>25</formula>
      <formula>99.99</formula>
    </cfRule>
  </conditionalFormatting>
  <conditionalFormatting sqref="L1:L1048576">
    <cfRule type="cellIs" dxfId="1310" priority="57" stopIfTrue="1" operator="equal">
      <formula>"CTF"</formula>
    </cfRule>
    <cfRule type="cellIs" dxfId="1309" priority="63" stopIfTrue="1" operator="equal">
      <formula>"E"</formula>
    </cfRule>
    <cfRule type="cellIs" dxfId="1308" priority="64" stopIfTrue="1" operator="equal">
      <formula>"RTF"</formula>
    </cfRule>
    <cfRule type="cellIs" dxfId="1307" priority="65" stopIfTrue="1" operator="equal">
      <formula>"Tri"</formula>
    </cfRule>
    <cfRule type="cellIs" dxfId="1306" priority="66" stopIfTrue="1" operator="equal">
      <formula>"Race"</formula>
    </cfRule>
    <cfRule type="cellIs" dxfId="1305" priority="67" stopIfTrue="1" operator="equal">
      <formula>"M"</formula>
    </cfRule>
  </conditionalFormatting>
  <conditionalFormatting sqref="K1:K1048576">
    <cfRule type="cellIs" dxfId="1304" priority="21" operator="greaterThanOrEqual">
      <formula>2010</formula>
    </cfRule>
    <cfRule type="cellIs" dxfId="1303" priority="22" stopIfTrue="1" operator="equal">
      <formula>2013</formula>
    </cfRule>
    <cfRule type="cellIs" dxfId="1302" priority="28" stopIfTrue="1" operator="equal">
      <formula>2006</formula>
    </cfRule>
    <cfRule type="cellIs" dxfId="1301" priority="58" stopIfTrue="1" operator="equal">
      <formula>2007</formula>
    </cfRule>
    <cfRule type="cellIs" dxfId="1300" priority="59" stopIfTrue="1" operator="equal">
      <formula>2008</formula>
    </cfRule>
    <cfRule type="cellIs" dxfId="1299" priority="60" stopIfTrue="1" operator="equal">
      <formula>2009</formula>
    </cfRule>
    <cfRule type="cellIs" dxfId="1298" priority="61" stopIfTrue="1" operator="equal">
      <formula>2010</formula>
    </cfRule>
    <cfRule type="cellIs" dxfId="1297" priority="62" stopIfTrue="1" operator="equal">
      <formula>2011</formula>
    </cfRule>
  </conditionalFormatting>
  <conditionalFormatting sqref="J1:J1048576">
    <cfRule type="cellIs" dxfId="1296" priority="53" operator="equal">
      <formula>0</formula>
    </cfRule>
    <cfRule type="cellIs" dxfId="1295" priority="54" stopIfTrue="1" operator="between">
      <formula>0.1</formula>
      <formula>99.9</formula>
    </cfRule>
    <cfRule type="cellIs" dxfId="1294" priority="55" stopIfTrue="1" operator="between">
      <formula>100</formula>
      <formula>199.9</formula>
    </cfRule>
    <cfRule type="cellIs" dxfId="1293" priority="56" stopIfTrue="1" operator="between">
      <formula>200</formula>
      <formula>9999</formula>
    </cfRule>
  </conditionalFormatting>
  <conditionalFormatting sqref="G1:G1048576">
    <cfRule type="cellIs" dxfId="1292" priority="42" stopIfTrue="1" operator="between">
      <formula>0</formula>
      <formula>499.99</formula>
    </cfRule>
    <cfRule type="cellIs" dxfId="1291" priority="43" stopIfTrue="1" operator="between">
      <formula>500</formula>
      <formula>999.99</formula>
    </cfRule>
    <cfRule type="cellIs" dxfId="1290" priority="44" stopIfTrue="1" operator="between">
      <formula>1000</formula>
      <formula>9999.99</formula>
    </cfRule>
  </conditionalFormatting>
  <conditionalFormatting sqref="A1:A1048576">
    <cfRule type="expression" dxfId="1289" priority="39">
      <formula>H1="RR"</formula>
    </cfRule>
    <cfRule type="expression" dxfId="1288" priority="40">
      <formula>H1="FB"</formula>
    </cfRule>
    <cfRule type="expression" dxfId="1287" priority="41">
      <formula>H1="MTB"</formula>
    </cfRule>
  </conditionalFormatting>
  <conditionalFormatting sqref="H1:H1048576">
    <cfRule type="cellIs" dxfId="1286" priority="36" operator="equal">
      <formula>"FB"</formula>
    </cfRule>
    <cfRule type="cellIs" dxfId="1285" priority="37" stopIfTrue="1" operator="equal">
      <formula>"RR"</formula>
    </cfRule>
    <cfRule type="cellIs" dxfId="1284" priority="38" stopIfTrue="1" operator="equal">
      <formula>"MTB"</formula>
    </cfRule>
  </conditionalFormatting>
  <conditionalFormatting sqref="B1:B1048576">
    <cfRule type="cellIs" dxfId="1283" priority="23" stopIfTrue="1" operator="between">
      <formula>0</formula>
      <formula>0.041666665</formula>
    </cfRule>
    <cfRule type="cellIs" dxfId="1282" priority="24" stopIfTrue="1" operator="between">
      <formula>0.0416666666666667</formula>
      <formula>0.124999884259259</formula>
    </cfRule>
    <cfRule type="cellIs" dxfId="1281" priority="25" stopIfTrue="1" operator="between">
      <formula>0.125</formula>
      <formula>0.166666550925926</formula>
    </cfRule>
    <cfRule type="cellIs" dxfId="1280" priority="26" stopIfTrue="1" operator="between">
      <formula>0.0833333333333333</formula>
      <formula>0.208333217592593</formula>
    </cfRule>
    <cfRule type="cellIs" dxfId="1279" priority="27" stopIfTrue="1" operator="between">
      <formula>0.208333333333333</formula>
      <formula>4.16666655092593</formula>
    </cfRule>
  </conditionalFormatting>
  <conditionalFormatting sqref="K1">
    <cfRule type="cellIs" priority="20" stopIfTrue="1" operator="equal">
      <formula>"Jahr"</formula>
    </cfRule>
  </conditionalFormatting>
  <conditionalFormatting sqref="F1:F1048576">
    <cfRule type="cellIs" dxfId="1278" priority="17" stopIfTrue="1" operator="between">
      <formula>0</formula>
      <formula>199.99</formula>
    </cfRule>
    <cfRule type="cellIs" dxfId="1277" priority="18" stopIfTrue="1" operator="between">
      <formula>200</formula>
      <formula>399.99</formula>
    </cfRule>
    <cfRule type="cellIs" dxfId="1276" priority="19" stopIfTrue="1" operator="between">
      <formula>400</formula>
      <formula>9999.99</formula>
    </cfRule>
  </conditionalFormatting>
  <conditionalFormatting sqref="C1:C1048576">
    <cfRule type="cellIs" dxfId="1275" priority="7" stopIfTrue="1" operator="between">
      <formula>0</formula>
      <formula>19.99</formula>
    </cfRule>
    <cfRule type="cellIs" dxfId="1274" priority="8" stopIfTrue="1" operator="between">
      <formula>20</formula>
      <formula>49.99</formula>
    </cfRule>
    <cfRule type="cellIs" dxfId="1273" priority="9" stopIfTrue="1" operator="between">
      <formula>50</formula>
      <formula>99.9999</formula>
    </cfRule>
    <cfRule type="cellIs" dxfId="1272" priority="10" stopIfTrue="1" operator="between">
      <formula>100</formula>
      <formula>9999</formula>
    </cfRule>
  </conditionalFormatting>
  <conditionalFormatting sqref="D1:D1048576">
    <cfRule type="cellIs" dxfId="1271" priority="1" stopIfTrue="1" operator="between">
      <formula>0</formula>
      <formula>99.99</formula>
    </cfRule>
    <cfRule type="cellIs" dxfId="1270" priority="2" stopIfTrue="1" operator="between">
      <formula>100</formula>
      <formula>499.99</formula>
    </cfRule>
    <cfRule type="cellIs" dxfId="1269" priority="3" stopIfTrue="1" operator="between">
      <formula>500</formula>
      <formula>999.99</formula>
    </cfRule>
    <cfRule type="cellIs" dxfId="1268" priority="4" stopIfTrue="1" operator="between">
      <formula>1000</formula>
      <formula>1499.99</formula>
    </cfRule>
    <cfRule type="cellIs" dxfId="1267" priority="5" stopIfTrue="1" operator="between">
      <formula>1500</formula>
      <formula>1999.99</formula>
    </cfRule>
  </conditionalFormatting>
  <conditionalFormatting sqref="D1:D1048576">
    <cfRule type="cellIs" dxfId="1266" priority="6" stopIfTrue="1" operator="between">
      <formula>2000</formula>
      <formula>9999.99</formula>
    </cfRule>
  </conditionalFormatting>
  <hyperlinks>
    <hyperlink ref="N15" r:id="rId1" xr:uid="{00000000-0004-0000-0B00-000000000000}"/>
    <hyperlink ref="M9" r:id="rId2" xr:uid="{00000000-0004-0000-0B00-000001000000}"/>
    <hyperlink ref="M15" r:id="rId3" xr:uid="{00000000-0004-0000-0B00-000002000000}"/>
    <hyperlink ref="M10" r:id="rId4" xr:uid="{00000000-0004-0000-0B00-000003000000}"/>
    <hyperlink ref="M17" r:id="rId5" xr:uid="{00000000-0004-0000-0B00-000004000000}"/>
    <hyperlink ref="M13" r:id="rId6" xr:uid="{00000000-0004-0000-0B00-000005000000}"/>
    <hyperlink ref="N13" r:id="rId7" xr:uid="{00000000-0004-0000-0B00-000006000000}"/>
    <hyperlink ref="M14" r:id="rId8" xr:uid="{00000000-0004-0000-0B00-000007000000}"/>
    <hyperlink ref="M8" r:id="rId9" xr:uid="{00000000-0004-0000-0B00-000008000000}"/>
    <hyperlink ref="M2" r:id="rId10" xr:uid="{00000000-0004-0000-0B00-000009000000}"/>
    <hyperlink ref="N2" r:id="rId11" xr:uid="{00000000-0004-0000-0B00-00000A000000}"/>
    <hyperlink ref="M6" r:id="rId12" xr:uid="{00000000-0004-0000-0B00-00000B000000}"/>
    <hyperlink ref="M7" r:id="rId13" xr:uid="{00000000-0004-0000-0B00-00000C000000}"/>
    <hyperlink ref="M19" r:id="rId14" xr:uid="{00000000-0004-0000-0B00-00000D000000}"/>
    <hyperlink ref="M12" r:id="rId15" xr:uid="{00000000-0004-0000-0B00-00000E000000}"/>
    <hyperlink ref="M4" r:id="rId16" xr:uid="{00000000-0004-0000-0B00-00000F000000}"/>
    <hyperlink ref="M5" r:id="rId17" xr:uid="{00000000-0004-0000-0B00-000010000000}"/>
    <hyperlink ref="N16" r:id="rId18" xr:uid="{00000000-0004-0000-0B00-000011000000}"/>
    <hyperlink ref="M16" r:id="rId19" xr:uid="{00000000-0004-0000-0B00-000012000000}"/>
    <hyperlink ref="M18" r:id="rId20" xr:uid="{00000000-0004-0000-0B00-000013000000}"/>
    <hyperlink ref="M3" r:id="rId21" xr:uid="{00000000-0004-0000-0B00-000014000000}"/>
    <hyperlink ref="M11" r:id="rId22" xr:uid="{00000000-0004-0000-0B00-000015000000}"/>
    <hyperlink ref="M20" r:id="rId23" xr:uid="{8633DC21-7D82-4CB3-A7FB-057CE29FE6EE}"/>
  </hyperlinks>
  <pageMargins left="0.78740157499999996" right="0.78740157499999996" top="0.984251969" bottom="0.984251969" header="0.4921259845" footer="0.4921259845"/>
  <pageSetup paperSize="9" orientation="portrait" horizontalDpi="4294967293" r:id="rId24"/>
  <headerFooter alignWithMargins="0"/>
  <legacyDrawing r:id="rId2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69"/>
    <col min="2" max="2" width="12.85546875" style="69" bestFit="1" customWidth="1"/>
    <col min="3" max="16384" width="11.42578125" style="70"/>
  </cols>
  <sheetData>
    <row r="1" spans="1:2" x14ac:dyDescent="0.2">
      <c r="A1" s="69" t="s">
        <v>84</v>
      </c>
      <c r="B1" s="69" t="s">
        <v>151</v>
      </c>
    </row>
    <row r="2" spans="1:2" x14ac:dyDescent="0.2">
      <c r="A2" s="69" t="s">
        <v>90</v>
      </c>
      <c r="B2" s="69">
        <f>COUNTIF(Auswärts!K:K,"Spessart")</f>
        <v>7</v>
      </c>
    </row>
    <row r="3" spans="1:2" x14ac:dyDescent="0.2">
      <c r="A3" s="69" t="s">
        <v>87</v>
      </c>
      <c r="B3" s="69">
        <f>COUNTIF(Auswärts!K:K,"Taunus")</f>
        <v>5</v>
      </c>
    </row>
    <row r="4" spans="1:2" x14ac:dyDescent="0.2">
      <c r="A4" s="69" t="s">
        <v>88</v>
      </c>
      <c r="B4" s="69">
        <f>COUNTIF(Auswärts!K:K,"Vogelsberg")</f>
        <v>4</v>
      </c>
    </row>
    <row r="5" spans="1:2" x14ac:dyDescent="0.2">
      <c r="A5" s="69" t="s">
        <v>89</v>
      </c>
      <c r="B5" s="69">
        <f>COUNTIF(Auswärts!K:K,"Odenwald")</f>
        <v>3</v>
      </c>
    </row>
    <row r="6" spans="1:2" x14ac:dyDescent="0.2">
      <c r="A6" s="69" t="s">
        <v>86</v>
      </c>
      <c r="B6" s="69">
        <f>COUNTIF(Auswärts!K:K,"Rhön")</f>
        <v>3</v>
      </c>
    </row>
    <row r="7" spans="1:2" x14ac:dyDescent="0.2">
      <c r="A7" s="69" t="s">
        <v>85</v>
      </c>
      <c r="B7" s="69">
        <f>COUNTIF(Auswärts!K:K,"Schwarzwald")</f>
        <v>1</v>
      </c>
    </row>
    <row r="8" spans="1:2" x14ac:dyDescent="0.2">
      <c r="A8" s="69" t="s">
        <v>414</v>
      </c>
      <c r="B8" s="69">
        <f>COUNTIF(Auswärts!K:K,"Alpen")</f>
        <v>1</v>
      </c>
    </row>
    <row r="9" spans="1:2" x14ac:dyDescent="0.2">
      <c r="A9" s="69" t="s">
        <v>326</v>
      </c>
      <c r="B9" s="69">
        <f>COUNTIF(Auswärts!K:K,"Schwäbische Alb")</f>
        <v>1</v>
      </c>
    </row>
    <row r="10" spans="1:2" x14ac:dyDescent="0.2">
      <c r="A10" s="69" t="s">
        <v>327</v>
      </c>
      <c r="B10" s="69">
        <v>1</v>
      </c>
    </row>
  </sheetData>
  <sortState xmlns:xlrd2="http://schemas.microsoft.com/office/spreadsheetml/2017/richdata2"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P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155" bestFit="1" customWidth="1"/>
    <col min="12" max="15" width="2.28515625" style="5" bestFit="1" customWidth="1"/>
    <col min="16" max="16" width="4.5703125" style="11" bestFit="1" customWidth="1"/>
  </cols>
  <sheetData>
    <row r="1" spans="1:16" s="21" customFormat="1" x14ac:dyDescent="0.2">
      <c r="A1" s="161"/>
      <c r="B1" s="22" t="s">
        <v>0</v>
      </c>
      <c r="C1" s="21" t="s">
        <v>238</v>
      </c>
      <c r="D1" s="21" t="s">
        <v>2</v>
      </c>
      <c r="E1" s="23" t="s">
        <v>237</v>
      </c>
      <c r="F1" s="42" t="s">
        <v>24</v>
      </c>
      <c r="G1" s="307" t="s">
        <v>1</v>
      </c>
      <c r="H1" s="24" t="s">
        <v>3</v>
      </c>
      <c r="I1" s="22" t="s">
        <v>4</v>
      </c>
      <c r="J1" s="42" t="s">
        <v>238</v>
      </c>
      <c r="K1" s="24" t="s">
        <v>84</v>
      </c>
      <c r="L1" s="136" t="s">
        <v>244</v>
      </c>
      <c r="M1" s="136" t="s">
        <v>245</v>
      </c>
      <c r="N1" s="136" t="s">
        <v>246</v>
      </c>
      <c r="O1" s="136" t="s">
        <v>247</v>
      </c>
      <c r="P1" s="24" t="s">
        <v>207</v>
      </c>
    </row>
    <row r="2" spans="1:16" x14ac:dyDescent="0.2">
      <c r="A2" s="1" t="s">
        <v>182</v>
      </c>
      <c r="B2" s="2">
        <v>8.3761574074074072E-2</v>
      </c>
      <c r="C2" s="3">
        <v>23.11</v>
      </c>
      <c r="D2" s="13">
        <v>910</v>
      </c>
      <c r="E2" s="12">
        <v>11.5</v>
      </c>
      <c r="F2" s="5">
        <v>720</v>
      </c>
      <c r="G2" s="13">
        <v>1630</v>
      </c>
      <c r="H2" s="6" t="s">
        <v>6</v>
      </c>
      <c r="I2" s="2">
        <v>0.16666666666666666</v>
      </c>
      <c r="J2" s="5">
        <v>375</v>
      </c>
      <c r="K2" s="155" t="s">
        <v>414</v>
      </c>
      <c r="L2" s="89">
        <v>3</v>
      </c>
      <c r="M2" s="89">
        <v>2</v>
      </c>
      <c r="N2" s="89">
        <v>3</v>
      </c>
      <c r="O2" s="89">
        <v>1</v>
      </c>
      <c r="P2" s="11">
        <f t="shared" ref="P2:P17" si="0">AVERAGE(L2:O2)</f>
        <v>2.25</v>
      </c>
    </row>
    <row r="3" spans="1:16" x14ac:dyDescent="0.2">
      <c r="A3" s="1" t="s">
        <v>61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155" t="s">
        <v>85</v>
      </c>
      <c r="L3" s="89">
        <v>3</v>
      </c>
      <c r="M3" s="89">
        <v>1</v>
      </c>
      <c r="N3" s="89">
        <v>1</v>
      </c>
      <c r="O3" s="89">
        <v>1</v>
      </c>
      <c r="P3" s="11">
        <f t="shared" si="0"/>
        <v>1.5</v>
      </c>
    </row>
    <row r="4" spans="1:16" x14ac:dyDescent="0.2">
      <c r="A4" s="1" t="s">
        <v>586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393</v>
      </c>
      <c r="I4" s="2">
        <v>0.10416666666666667</v>
      </c>
      <c r="J4" s="5">
        <v>223</v>
      </c>
      <c r="K4" s="187" t="s">
        <v>327</v>
      </c>
      <c r="L4" s="89">
        <v>3</v>
      </c>
      <c r="M4" s="89">
        <v>2</v>
      </c>
      <c r="N4" s="89">
        <v>1</v>
      </c>
      <c r="O4" s="89">
        <v>1</v>
      </c>
      <c r="P4" s="11">
        <f t="shared" si="0"/>
        <v>1.75</v>
      </c>
    </row>
    <row r="5" spans="1:16" x14ac:dyDescent="0.2">
      <c r="A5" s="1" t="s">
        <v>41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155" t="s">
        <v>86</v>
      </c>
      <c r="L5" s="89">
        <v>2</v>
      </c>
      <c r="M5" s="89">
        <v>2</v>
      </c>
      <c r="N5" s="89">
        <v>2</v>
      </c>
      <c r="O5" s="89">
        <v>2</v>
      </c>
      <c r="P5" s="11">
        <f t="shared" si="0"/>
        <v>2</v>
      </c>
    </row>
    <row r="6" spans="1:16" x14ac:dyDescent="0.2">
      <c r="A6" s="1" t="s">
        <v>42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155" t="s">
        <v>86</v>
      </c>
      <c r="L6" s="89">
        <v>3</v>
      </c>
      <c r="M6" s="89">
        <v>3</v>
      </c>
      <c r="N6" s="89">
        <v>2</v>
      </c>
      <c r="O6" s="89">
        <v>2</v>
      </c>
      <c r="P6" s="11">
        <f t="shared" si="0"/>
        <v>2.5</v>
      </c>
    </row>
    <row r="7" spans="1:16" x14ac:dyDescent="0.2">
      <c r="A7" s="1" t="s">
        <v>62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155" t="s">
        <v>86</v>
      </c>
      <c r="L7" s="89">
        <v>3</v>
      </c>
      <c r="M7" s="89">
        <v>2</v>
      </c>
      <c r="N7" s="89">
        <v>1</v>
      </c>
      <c r="O7" s="89">
        <v>1</v>
      </c>
      <c r="P7" s="11">
        <f t="shared" si="0"/>
        <v>1.75</v>
      </c>
    </row>
    <row r="8" spans="1:16" x14ac:dyDescent="0.2">
      <c r="A8" s="1" t="s">
        <v>493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155" t="s">
        <v>87</v>
      </c>
      <c r="L8" s="89">
        <v>3</v>
      </c>
      <c r="M8" s="89">
        <v>1</v>
      </c>
      <c r="N8" s="89">
        <v>2</v>
      </c>
      <c r="O8" s="89">
        <v>1</v>
      </c>
      <c r="P8" s="11">
        <f t="shared" si="0"/>
        <v>1.75</v>
      </c>
    </row>
    <row r="9" spans="1:16" x14ac:dyDescent="0.2">
      <c r="A9" s="1" t="s">
        <v>492</v>
      </c>
      <c r="B9" s="2">
        <v>6.7951388888888895E-2</v>
      </c>
      <c r="C9" s="11">
        <v>34.9</v>
      </c>
      <c r="D9" s="72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155" t="s">
        <v>87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491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155" t="s">
        <v>87</v>
      </c>
      <c r="L10" s="89">
        <v>3</v>
      </c>
      <c r="M10" s="89">
        <v>1</v>
      </c>
      <c r="N10" s="89">
        <v>2</v>
      </c>
      <c r="O10" s="89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187" t="s">
        <v>87</v>
      </c>
      <c r="L11" s="89">
        <v>1</v>
      </c>
      <c r="M11" s="89">
        <v>2</v>
      </c>
      <c r="N11" s="89">
        <v>1</v>
      </c>
      <c r="O11" s="89">
        <v>1</v>
      </c>
      <c r="P11" s="11">
        <f t="shared" si="0"/>
        <v>1.25</v>
      </c>
    </row>
    <row r="12" spans="1:16" x14ac:dyDescent="0.2">
      <c r="A12" s="1" t="s">
        <v>498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393</v>
      </c>
      <c r="I12" s="2">
        <v>8.0555555555555561E-2</v>
      </c>
      <c r="J12" s="5">
        <v>185</v>
      </c>
      <c r="K12" s="187" t="s">
        <v>326</v>
      </c>
      <c r="L12" s="89">
        <v>3</v>
      </c>
      <c r="M12" s="89">
        <v>2</v>
      </c>
      <c r="N12" s="89">
        <v>1</v>
      </c>
      <c r="O12" s="89">
        <v>1</v>
      </c>
      <c r="P12" s="11">
        <f t="shared" si="0"/>
        <v>1.75</v>
      </c>
    </row>
    <row r="13" spans="1:16" x14ac:dyDescent="0.2">
      <c r="A13" s="1" t="s">
        <v>50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187" t="s">
        <v>87</v>
      </c>
      <c r="L13" s="89">
        <v>2</v>
      </c>
      <c r="M13" s="89">
        <v>1</v>
      </c>
      <c r="N13" s="89">
        <v>2</v>
      </c>
      <c r="O13" s="89">
        <v>1</v>
      </c>
      <c r="P13" s="11">
        <f t="shared" si="0"/>
        <v>1.5</v>
      </c>
    </row>
    <row r="14" spans="1:16" x14ac:dyDescent="0.2">
      <c r="A14" s="1" t="s">
        <v>490</v>
      </c>
      <c r="B14" s="2">
        <v>6.6562499999999997E-2</v>
      </c>
      <c r="C14" s="71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155" t="s">
        <v>88</v>
      </c>
      <c r="L14" s="89">
        <v>2</v>
      </c>
      <c r="M14" s="89">
        <v>2</v>
      </c>
      <c r="N14" s="89">
        <v>2</v>
      </c>
      <c r="O14" s="89">
        <v>2</v>
      </c>
      <c r="P14" s="11">
        <f t="shared" si="0"/>
        <v>2</v>
      </c>
    </row>
    <row r="15" spans="1:16" x14ac:dyDescent="0.2">
      <c r="A15" s="1" t="s">
        <v>489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155" t="s">
        <v>88</v>
      </c>
      <c r="L15" s="89">
        <v>2</v>
      </c>
      <c r="M15" s="89">
        <v>2</v>
      </c>
      <c r="N15" s="89">
        <v>2</v>
      </c>
      <c r="O15" s="89">
        <v>2</v>
      </c>
      <c r="P15" s="11">
        <f t="shared" si="0"/>
        <v>2</v>
      </c>
    </row>
    <row r="16" spans="1:16" x14ac:dyDescent="0.2">
      <c r="A16" s="1" t="s">
        <v>39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187" t="s">
        <v>88</v>
      </c>
      <c r="L16" s="89">
        <v>2</v>
      </c>
      <c r="M16" s="89">
        <v>2</v>
      </c>
      <c r="N16" s="89">
        <v>1</v>
      </c>
      <c r="O16" s="89">
        <v>1</v>
      </c>
      <c r="P16" s="11">
        <f t="shared" si="0"/>
        <v>1.5</v>
      </c>
    </row>
    <row r="17" spans="1:16" x14ac:dyDescent="0.2">
      <c r="A17" s="1" t="s">
        <v>40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187" t="s">
        <v>88</v>
      </c>
      <c r="L17" s="89">
        <v>2</v>
      </c>
      <c r="M17" s="89">
        <v>2</v>
      </c>
      <c r="N17" s="89">
        <v>2</v>
      </c>
      <c r="O17" s="89">
        <v>1</v>
      </c>
      <c r="P17" s="11">
        <f t="shared" si="0"/>
        <v>1.75</v>
      </c>
    </row>
    <row r="18" spans="1:16" x14ac:dyDescent="0.2">
      <c r="A18" s="1" t="s">
        <v>365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187" t="s">
        <v>89</v>
      </c>
      <c r="L18" s="89">
        <v>3</v>
      </c>
      <c r="M18" s="89">
        <v>1</v>
      </c>
      <c r="N18" s="89">
        <v>1</v>
      </c>
      <c r="O18" s="89">
        <v>2</v>
      </c>
      <c r="P18" s="11">
        <v>1.75</v>
      </c>
    </row>
    <row r="19" spans="1:16" x14ac:dyDescent="0.2">
      <c r="A19" s="1" t="s">
        <v>253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187" t="s">
        <v>89</v>
      </c>
      <c r="L19" s="89">
        <v>2</v>
      </c>
      <c r="M19" s="89">
        <v>1</v>
      </c>
      <c r="N19" s="89">
        <v>2</v>
      </c>
      <c r="O19" s="89">
        <v>1</v>
      </c>
      <c r="P19" s="11">
        <f t="shared" ref="P19:P25" si="1">AVERAGE(L19:O19)</f>
        <v>1.5</v>
      </c>
    </row>
    <row r="20" spans="1:16" x14ac:dyDescent="0.2">
      <c r="A20" s="1" t="s">
        <v>488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155" t="s">
        <v>90</v>
      </c>
      <c r="L20" s="89">
        <v>3</v>
      </c>
      <c r="M20" s="89">
        <v>1</v>
      </c>
      <c r="N20" s="89">
        <v>2</v>
      </c>
      <c r="O20" s="89">
        <v>2</v>
      </c>
      <c r="P20" s="11">
        <f t="shared" si="1"/>
        <v>2</v>
      </c>
    </row>
    <row r="21" spans="1:16" x14ac:dyDescent="0.2">
      <c r="A21" s="1" t="s">
        <v>487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155" t="s">
        <v>90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486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155" t="s">
        <v>90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167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187" t="s">
        <v>90</v>
      </c>
      <c r="L23" s="89">
        <v>3</v>
      </c>
      <c r="M23" s="89">
        <v>2</v>
      </c>
      <c r="N23" s="89">
        <v>2</v>
      </c>
      <c r="O23" s="89">
        <v>2</v>
      </c>
      <c r="P23" s="11">
        <f t="shared" si="1"/>
        <v>2.25</v>
      </c>
    </row>
    <row r="24" spans="1:16" x14ac:dyDescent="0.2">
      <c r="A24" s="1" t="s">
        <v>484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155" t="s">
        <v>90</v>
      </c>
      <c r="L24" s="89">
        <v>3</v>
      </c>
      <c r="M24" s="89">
        <v>1</v>
      </c>
      <c r="N24" s="89">
        <v>2</v>
      </c>
      <c r="O24" s="89">
        <v>2</v>
      </c>
      <c r="P24" s="11">
        <f t="shared" si="1"/>
        <v>2</v>
      </c>
    </row>
    <row r="25" spans="1:16" x14ac:dyDescent="0.2">
      <c r="A25" s="1" t="s">
        <v>705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187" t="s">
        <v>90</v>
      </c>
      <c r="L25" s="89">
        <v>3</v>
      </c>
      <c r="M25" s="89">
        <v>1</v>
      </c>
      <c r="N25" s="89">
        <v>3</v>
      </c>
      <c r="O25" s="89">
        <v>1</v>
      </c>
      <c r="P25" s="11">
        <f t="shared" si="1"/>
        <v>2</v>
      </c>
    </row>
    <row r="26" spans="1:16" x14ac:dyDescent="0.2">
      <c r="A26" s="1" t="s">
        <v>485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155" t="s">
        <v>90</v>
      </c>
      <c r="L26" s="89">
        <v>3</v>
      </c>
      <c r="M26" s="89">
        <v>1</v>
      </c>
      <c r="N26" s="89">
        <v>2</v>
      </c>
      <c r="O26" s="89">
        <v>2</v>
      </c>
      <c r="P26" s="11">
        <f>AVERAGE(L26:O26)</f>
        <v>2</v>
      </c>
    </row>
    <row r="27" spans="1:16" x14ac:dyDescent="0.2">
      <c r="A27" s="1" t="s">
        <v>530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155" t="s">
        <v>89</v>
      </c>
      <c r="L27" s="89">
        <v>2</v>
      </c>
      <c r="M27" s="89">
        <v>1</v>
      </c>
      <c r="N27" s="89">
        <v>2</v>
      </c>
      <c r="O27" s="89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187"/>
      <c r="L28" s="89"/>
      <c r="M28" s="89"/>
      <c r="N28" s="89"/>
      <c r="O28" s="89"/>
    </row>
    <row r="29" spans="1:16" x14ac:dyDescent="0.2">
      <c r="C29" s="14"/>
      <c r="D29" s="13"/>
      <c r="E29" s="4"/>
      <c r="G29" s="13"/>
      <c r="H29" s="6"/>
      <c r="K29" s="187"/>
      <c r="L29" s="89"/>
      <c r="M29" s="89"/>
      <c r="N29" s="89"/>
      <c r="O29" s="89"/>
    </row>
    <row r="30" spans="1:16" x14ac:dyDescent="0.2">
      <c r="C30" s="14"/>
      <c r="D30" s="13"/>
      <c r="G30" s="13"/>
      <c r="H30" s="6"/>
      <c r="K30" s="187"/>
      <c r="L30" s="89"/>
      <c r="M30" s="89"/>
      <c r="N30" s="89"/>
      <c r="O30" s="89"/>
    </row>
    <row r="31" spans="1:16" x14ac:dyDescent="0.2">
      <c r="C31" s="14"/>
      <c r="D31" s="13"/>
      <c r="G31" s="13"/>
      <c r="H31" s="6"/>
      <c r="K31" s="187"/>
      <c r="L31" s="89"/>
      <c r="M31" s="89"/>
      <c r="N31" s="89"/>
      <c r="O31" s="89"/>
    </row>
    <row r="32" spans="1:16" x14ac:dyDescent="0.2">
      <c r="C32" s="14"/>
      <c r="D32" s="13"/>
      <c r="E32" s="4"/>
      <c r="G32" s="13"/>
      <c r="H32" s="6"/>
      <c r="K32" s="187"/>
      <c r="L32" s="89"/>
      <c r="M32" s="89"/>
      <c r="N32" s="89"/>
      <c r="O32" s="89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187"/>
      <c r="L34" s="89"/>
      <c r="M34" s="89"/>
      <c r="N34" s="89"/>
      <c r="O34" s="89"/>
    </row>
    <row r="35" spans="4:15" x14ac:dyDescent="0.2">
      <c r="D35" s="13"/>
      <c r="G35" s="13"/>
      <c r="H35" s="6"/>
      <c r="L35" s="89"/>
      <c r="M35" s="89"/>
      <c r="N35" s="89"/>
      <c r="O35" s="89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xmlns:xlrd2="http://schemas.microsoft.com/office/spreadsheetml/2017/richdata2" ref="A2:S27">
    <sortCondition descending="1" ref="G1"/>
  </sortState>
  <conditionalFormatting sqref="C1:C1048576">
    <cfRule type="cellIs" dxfId="1265" priority="195" stopIfTrue="1" operator="between">
      <formula>0</formula>
      <formula>19.99</formula>
    </cfRule>
    <cfRule type="cellIs" dxfId="1264" priority="196" stopIfTrue="1" operator="between">
      <formula>20</formula>
      <formula>49.99</formula>
    </cfRule>
    <cfRule type="cellIs" dxfId="1263" priority="197" stopIfTrue="1" operator="between">
      <formula>50</formula>
      <formula>9999</formula>
    </cfRule>
  </conditionalFormatting>
  <conditionalFormatting sqref="E1:E1048576">
    <cfRule type="cellIs" dxfId="1262" priority="192" stopIfTrue="1" operator="between">
      <formula>0</formula>
      <formula>19.99</formula>
    </cfRule>
    <cfRule type="cellIs" dxfId="1261" priority="193" stopIfTrue="1" operator="between">
      <formula>20</formula>
      <formula>24.99</formula>
    </cfRule>
    <cfRule type="cellIs" dxfId="1260" priority="194" stopIfTrue="1" operator="between">
      <formula>25</formula>
      <formula>99.99</formula>
    </cfRule>
  </conditionalFormatting>
  <conditionalFormatting sqref="F1:F1048576">
    <cfRule type="cellIs" dxfId="1259" priority="189" stopIfTrue="1" operator="between">
      <formula>0</formula>
      <formula>199.99</formula>
    </cfRule>
    <cfRule type="cellIs" dxfId="1258" priority="190" stopIfTrue="1" operator="between">
      <formula>200</formula>
      <formula>399.99</formula>
    </cfRule>
    <cfRule type="cellIs" dxfId="1257" priority="191" stopIfTrue="1" operator="between">
      <formula>400</formula>
      <formula>9999.99</formula>
    </cfRule>
  </conditionalFormatting>
  <conditionalFormatting sqref="J1:J1048576">
    <cfRule type="cellIs" dxfId="1256" priority="173" operator="equal">
      <formula>0</formula>
    </cfRule>
    <cfRule type="cellIs" dxfId="1255" priority="174" stopIfTrue="1" operator="between">
      <formula>0.1</formula>
      <formula>99.9</formula>
    </cfRule>
    <cfRule type="cellIs" dxfId="1254" priority="175" stopIfTrue="1" operator="between">
      <formula>100</formula>
      <formula>199.9</formula>
    </cfRule>
    <cfRule type="cellIs" dxfId="1253" priority="176" stopIfTrue="1" operator="between">
      <formula>200</formula>
      <formula>9999</formula>
    </cfRule>
  </conditionalFormatting>
  <conditionalFormatting sqref="H1:H1048576">
    <cfRule type="cellIs" dxfId="1252" priority="152" operator="equal">
      <formula>"FB"</formula>
    </cfRule>
    <cfRule type="cellIs" dxfId="1251" priority="153" stopIfTrue="1" operator="equal">
      <formula>"RR"</formula>
    </cfRule>
    <cfRule type="cellIs" dxfId="1250" priority="154" stopIfTrue="1" operator="equal">
      <formula>"MTB"</formula>
    </cfRule>
  </conditionalFormatting>
  <conditionalFormatting sqref="D1:D1048576">
    <cfRule type="cellIs" dxfId="1249" priority="120" stopIfTrue="1" operator="between">
      <formula>0</formula>
      <formula>99.99</formula>
    </cfRule>
    <cfRule type="cellIs" dxfId="1248" priority="121" stopIfTrue="1" operator="between">
      <formula>100</formula>
      <formula>499.99</formula>
    </cfRule>
    <cfRule type="cellIs" dxfId="1247" priority="122" stopIfTrue="1" operator="between">
      <formula>500</formula>
      <formula>999.99</formula>
    </cfRule>
    <cfRule type="cellIs" dxfId="1246" priority="123" stopIfTrue="1" operator="between">
      <formula>1000</formula>
      <formula>1499.99</formula>
    </cfRule>
    <cfRule type="cellIs" dxfId="1245" priority="124" stopIfTrue="1" operator="between">
      <formula>1500</formula>
      <formula>1999.99</formula>
    </cfRule>
  </conditionalFormatting>
  <conditionalFormatting sqref="D1:D1048576">
    <cfRule type="cellIs" dxfId="1244" priority="125" stopIfTrue="1" operator="between">
      <formula>2000</formula>
      <formula>9999.99</formula>
    </cfRule>
  </conditionalFormatting>
  <conditionalFormatting sqref="L1:O1048576">
    <cfRule type="cellIs" dxfId="1243" priority="66" operator="equal">
      <formula>1</formula>
    </cfRule>
    <cfRule type="cellIs" dxfId="1242" priority="67" operator="equal">
      <formula>2</formula>
    </cfRule>
    <cfRule type="cellIs" dxfId="1241" priority="68" operator="equal">
      <formula>3</formula>
    </cfRule>
  </conditionalFormatting>
  <conditionalFormatting sqref="P1:P1048576">
    <cfRule type="cellIs" dxfId="1240" priority="63" operator="between">
      <formula>2</formula>
      <formula>99.999</formula>
    </cfRule>
    <cfRule type="cellIs" dxfId="1239" priority="64" operator="between">
      <formula>1.5</formula>
      <formula>1.999</formula>
    </cfRule>
    <cfRule type="cellIs" dxfId="1238" priority="65" operator="between">
      <formula>1</formula>
      <formula>1.499</formula>
    </cfRule>
  </conditionalFormatting>
  <conditionalFormatting sqref="K1:K1048576">
    <cfRule type="cellIs" dxfId="1237" priority="45" stopIfTrue="1" operator="equal">
      <formula>"Hunsrück"</formula>
    </cfRule>
    <cfRule type="cellIs" dxfId="1236" priority="46" stopIfTrue="1" operator="equal">
      <formula>"Fränkische Alb"</formula>
    </cfRule>
    <cfRule type="cellIs" dxfId="1235" priority="47" stopIfTrue="1" operator="equal">
      <formula>"Bayerischer Wald"</formula>
    </cfRule>
    <cfRule type="cellIs" dxfId="1234" priority="48" stopIfTrue="1" operator="equal">
      <formula>"Harz"</formula>
    </cfRule>
    <cfRule type="cellIs" dxfId="1233" priority="49" stopIfTrue="1" operator="equal">
      <formula>"Fichtelgebirge"</formula>
    </cfRule>
    <cfRule type="cellIs" dxfId="1232" priority="50" stopIfTrue="1" operator="equal">
      <formula>"Frankenwald"</formula>
    </cfRule>
    <cfRule type="cellIs" dxfId="1231" priority="51" stopIfTrue="1" operator="equal">
      <formula>"Thüringer Wald"</formula>
    </cfRule>
    <cfRule type="cellIs" dxfId="1230" priority="52" stopIfTrue="1" operator="equal">
      <formula>"Rothaargebirge"</formula>
    </cfRule>
    <cfRule type="cellIs" dxfId="1229" priority="53" stopIfTrue="1" operator="equal">
      <formula>"Schwäbische Alb"</formula>
    </cfRule>
    <cfRule type="cellIs" dxfId="1228" priority="54" stopIfTrue="1" operator="equal">
      <formula>"Alpen"</formula>
    </cfRule>
    <cfRule type="cellIs" dxfId="1227" priority="55" stopIfTrue="1" operator="equal">
      <formula>"Pfalz"</formula>
    </cfRule>
    <cfRule type="cellIs" dxfId="1226" priority="56" stopIfTrue="1" operator="equal">
      <formula>"Schwarzwald"</formula>
    </cfRule>
    <cfRule type="cellIs" dxfId="1225" priority="57" stopIfTrue="1" operator="equal">
      <formula>"Vogelsberg"</formula>
    </cfRule>
    <cfRule type="cellIs" dxfId="1224" priority="58" stopIfTrue="1" operator="equal">
      <formula>"Rhön"</formula>
    </cfRule>
    <cfRule type="cellIs" dxfId="1223" priority="59" stopIfTrue="1" operator="equal">
      <formula>"Schwarzwald"</formula>
    </cfRule>
    <cfRule type="cellIs" dxfId="1222" priority="60" stopIfTrue="1" operator="equal">
      <formula>"Taunus"</formula>
    </cfRule>
    <cfRule type="cellIs" dxfId="1221" priority="61" stopIfTrue="1" operator="equal">
      <formula>"Spessart"</formula>
    </cfRule>
    <cfRule type="cellIs" dxfId="1220" priority="62" stopIfTrue="1" operator="equal">
      <formula>"Odenwald"</formula>
    </cfRule>
  </conditionalFormatting>
  <conditionalFormatting sqref="A1:A1048576">
    <cfRule type="expression" dxfId="1219" priority="33">
      <formula>H1="RR"</formula>
    </cfRule>
    <cfRule type="expression" dxfId="1218" priority="34">
      <formula>H1="FB"</formula>
    </cfRule>
    <cfRule type="expression" dxfId="1217" priority="35">
      <formula>H1="MTB"</formula>
    </cfRule>
  </conditionalFormatting>
  <conditionalFormatting sqref="B1:B1048576">
    <cfRule type="cellIs" dxfId="1216" priority="18" stopIfTrue="1" operator="between">
      <formula>0</formula>
      <formula>0.041666665</formula>
    </cfRule>
    <cfRule type="cellIs" dxfId="1215" priority="19" stopIfTrue="1" operator="between">
      <formula>0.0416666666666667</formula>
      <formula>0.124999884259259</formula>
    </cfRule>
    <cfRule type="cellIs" dxfId="1214" priority="20" stopIfTrue="1" operator="between">
      <formula>0.125</formula>
      <formula>0.166666550925926</formula>
    </cfRule>
    <cfRule type="cellIs" dxfId="1213" priority="21" stopIfTrue="1" operator="between">
      <formula>0.0833333333333333</formula>
      <formula>0.208333217592593</formula>
    </cfRule>
    <cfRule type="cellIs" dxfId="1212" priority="22" stopIfTrue="1" operator="between">
      <formula>0.208333333333333</formula>
      <formula>4.16666655092593</formula>
    </cfRule>
  </conditionalFormatting>
  <conditionalFormatting sqref="I1:I1048576">
    <cfRule type="cellIs" dxfId="1211" priority="13" stopIfTrue="1" operator="between">
      <formula>0</formula>
      <formula>0.041666665</formula>
    </cfRule>
    <cfRule type="cellIs" dxfId="1210" priority="14" stopIfTrue="1" operator="between">
      <formula>0.0416666666666667</formula>
      <formula>0.124999884259259</formula>
    </cfRule>
    <cfRule type="cellIs" dxfId="1209" priority="15" stopIfTrue="1" operator="between">
      <formula>0.125</formula>
      <formula>0.166666550925926</formula>
    </cfRule>
    <cfRule type="cellIs" dxfId="1208" priority="16" stopIfTrue="1" operator="between">
      <formula>0.0833333333333333</formula>
      <formula>0.208333217592593</formula>
    </cfRule>
    <cfRule type="cellIs" dxfId="1207" priority="17" stopIfTrue="1" operator="between">
      <formula>0.208333333333333</formula>
      <formula>4.16666655092593</formula>
    </cfRule>
  </conditionalFormatting>
  <conditionalFormatting sqref="G1:G1048576">
    <cfRule type="cellIs" dxfId="1206" priority="1" stopIfTrue="1" operator="between">
      <formula>0</formula>
      <formula>399.99</formula>
    </cfRule>
    <cfRule type="cellIs" dxfId="1205" priority="2" stopIfTrue="1" operator="between">
      <formula>400</formula>
      <formula>449.99</formula>
    </cfRule>
    <cfRule type="cellIs" dxfId="1204" priority="3" stopIfTrue="1" operator="between">
      <formula>450</formula>
      <formula>499.99</formula>
    </cfRule>
    <cfRule type="cellIs" dxfId="1203" priority="4" stopIfTrue="1" operator="between">
      <formula>500</formula>
      <formula>549.99</formula>
    </cfRule>
    <cfRule type="cellIs" dxfId="1202" priority="5" stopIfTrue="1" operator="between">
      <formula>550</formula>
      <formula>599.99</formula>
    </cfRule>
  </conditionalFormatting>
  <conditionalFormatting sqref="G1:G1048576">
    <cfRule type="cellIs" dxfId="1201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13" customWidth="1"/>
    <col min="2" max="2" width="13.42578125" customWidth="1"/>
    <col min="3" max="3" width="10.85546875" style="138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155" bestFit="1" customWidth="1"/>
    <col min="14" max="14" width="4.5703125" style="41" bestFit="1" customWidth="1"/>
    <col min="15" max="15" width="5.7109375" bestFit="1" customWidth="1"/>
    <col min="16" max="16" width="7.28515625" style="11" bestFit="1" customWidth="1"/>
    <col min="17" max="17" width="5.5703125" style="186" hidden="1" customWidth="1"/>
    <col min="18" max="18" width="6.140625" style="186" hidden="1" customWidth="1"/>
    <col min="19" max="19" width="6.85546875" style="186" hidden="1" customWidth="1"/>
    <col min="20" max="20" width="5.140625" style="186" hidden="1" customWidth="1"/>
    <col min="21" max="21" width="5" style="189" hidden="1" customWidth="1"/>
    <col min="22" max="22" width="5.7109375" style="190" hidden="1" customWidth="1"/>
  </cols>
  <sheetData>
    <row r="1" spans="1:25" s="1" customFormat="1" ht="15" x14ac:dyDescent="0.25">
      <c r="A1" s="309" t="s">
        <v>348</v>
      </c>
      <c r="B1" s="308" t="s">
        <v>321</v>
      </c>
      <c r="C1" s="182" t="s">
        <v>385</v>
      </c>
      <c r="D1" s="24" t="s">
        <v>379</v>
      </c>
      <c r="E1" s="24" t="s">
        <v>380</v>
      </c>
      <c r="F1" s="24" t="s">
        <v>323</v>
      </c>
      <c r="G1" s="24" t="s">
        <v>381</v>
      </c>
      <c r="H1" s="24" t="s">
        <v>382</v>
      </c>
      <c r="I1" s="24" t="s">
        <v>383</v>
      </c>
      <c r="J1" s="24" t="s">
        <v>384</v>
      </c>
      <c r="K1" s="183" t="s">
        <v>405</v>
      </c>
      <c r="L1" s="184" t="s">
        <v>404</v>
      </c>
      <c r="M1" s="24" t="s">
        <v>84</v>
      </c>
      <c r="N1" s="24" t="s">
        <v>411</v>
      </c>
      <c r="O1" s="1" t="s">
        <v>221</v>
      </c>
      <c r="P1" s="185" t="s">
        <v>409</v>
      </c>
      <c r="Q1" s="310" t="s">
        <v>410</v>
      </c>
      <c r="R1" s="310" t="s">
        <v>417</v>
      </c>
      <c r="S1" s="310" t="s">
        <v>407</v>
      </c>
      <c r="T1" s="310" t="s">
        <v>408</v>
      </c>
      <c r="U1" s="311" t="s">
        <v>416</v>
      </c>
      <c r="V1" s="312" t="s">
        <v>427</v>
      </c>
      <c r="X1" s="313">
        <v>80</v>
      </c>
      <c r="Y1" s="1" t="s">
        <v>237</v>
      </c>
    </row>
    <row r="2" spans="1:25" x14ac:dyDescent="0.2">
      <c r="A2" s="1" t="s">
        <v>359</v>
      </c>
      <c r="B2" s="12">
        <v>35</v>
      </c>
      <c r="C2" s="138">
        <f>(B2/$X$1)*stat!$E$22</f>
        <v>1.8229166666666664E-2</v>
      </c>
      <c r="D2" s="71">
        <v>37.799999999999997</v>
      </c>
      <c r="E2" s="71">
        <v>37.799999999999997</v>
      </c>
      <c r="F2" s="5">
        <v>136</v>
      </c>
      <c r="G2" s="72">
        <v>586</v>
      </c>
      <c r="H2" s="13">
        <f t="shared" ref="H2:H28" si="0">G2-F2</f>
        <v>450</v>
      </c>
      <c r="I2" s="72">
        <v>586</v>
      </c>
      <c r="J2" s="13">
        <f t="shared" ref="J2:J28" si="1">I2-F2</f>
        <v>450</v>
      </c>
      <c r="K2" s="72">
        <f t="shared" ref="K2:K28" si="2">J2-H2</f>
        <v>0</v>
      </c>
      <c r="L2" s="71">
        <f t="shared" ref="L2:L8" si="3">E2-D2</f>
        <v>0</v>
      </c>
      <c r="M2" s="155" t="s">
        <v>90</v>
      </c>
      <c r="N2" s="40"/>
      <c r="O2">
        <f t="shared" ref="O2:O28" si="4">RANK(P2,(P:P))</f>
        <v>4</v>
      </c>
      <c r="P2" s="11">
        <f t="shared" ref="P2:P28" si="5">AVERAGE(Q2:T2)*U2*V2</f>
        <v>22.039370117187499</v>
      </c>
      <c r="Q2" s="186">
        <f t="shared" ref="Q2:Q28" si="6">RANK(C2,(C:C))</f>
        <v>27</v>
      </c>
      <c r="R2" s="186">
        <f t="shared" ref="R2:R28" si="7">COUNTA(B:B)-RANK(E2,(E:E))</f>
        <v>19</v>
      </c>
      <c r="S2" s="186">
        <f t="shared" ref="S2:S28" si="8">COUNTA(B:B)-RANK(I2,(I:I))</f>
        <v>1</v>
      </c>
      <c r="T2" s="186">
        <f t="shared" ref="T2:T28" si="9">COUNTA(B:B)-RANK(J2,(J:J))</f>
        <v>9</v>
      </c>
      <c r="U2" s="189">
        <f t="shared" ref="U2:U28" si="10">((MAX(C:C)-C2)+1)^2</f>
        <v>1.5742407226562498</v>
      </c>
      <c r="V2" s="190">
        <v>1</v>
      </c>
    </row>
    <row r="3" spans="1:25" x14ac:dyDescent="0.2">
      <c r="A3" s="1" t="s">
        <v>353</v>
      </c>
      <c r="B3" s="12">
        <v>46</v>
      </c>
      <c r="C3" s="138">
        <f>(B3/$X$1)*stat!$E$22</f>
        <v>2.3958333333333331E-2</v>
      </c>
      <c r="D3" s="14">
        <v>37.4</v>
      </c>
      <c r="E3" s="14">
        <v>38.6</v>
      </c>
      <c r="F3" s="5">
        <v>160</v>
      </c>
      <c r="G3" s="13">
        <v>592</v>
      </c>
      <c r="H3" s="13">
        <f t="shared" si="0"/>
        <v>432</v>
      </c>
      <c r="I3" s="13">
        <v>605</v>
      </c>
      <c r="J3" s="13">
        <f t="shared" si="1"/>
        <v>445</v>
      </c>
      <c r="K3" s="13">
        <f t="shared" si="2"/>
        <v>13</v>
      </c>
      <c r="L3" s="71">
        <f t="shared" si="3"/>
        <v>1.2000000000000028</v>
      </c>
      <c r="M3" s="155" t="s">
        <v>89</v>
      </c>
      <c r="N3" s="40"/>
      <c r="O3">
        <f t="shared" si="4"/>
        <v>5</v>
      </c>
      <c r="P3" s="11">
        <f t="shared" si="5"/>
        <v>21.838556857638892</v>
      </c>
      <c r="Q3" s="186">
        <f t="shared" si="6"/>
        <v>26</v>
      </c>
      <c r="R3" s="186">
        <f t="shared" si="7"/>
        <v>21</v>
      </c>
      <c r="S3" s="186">
        <f t="shared" si="8"/>
        <v>2</v>
      </c>
      <c r="T3" s="186">
        <f t="shared" si="9"/>
        <v>7</v>
      </c>
      <c r="U3" s="189">
        <f t="shared" si="10"/>
        <v>1.559896918402778</v>
      </c>
      <c r="V3" s="190">
        <v>1</v>
      </c>
    </row>
    <row r="4" spans="1:25" x14ac:dyDescent="0.2">
      <c r="A4" s="1" t="s">
        <v>352</v>
      </c>
      <c r="B4" s="12">
        <v>91</v>
      </c>
      <c r="C4" s="138">
        <f>(B4/$X$1)*stat!$E$22</f>
        <v>4.7395833333333331E-2</v>
      </c>
      <c r="D4" s="14">
        <v>23.5</v>
      </c>
      <c r="E4" s="14">
        <v>23.5</v>
      </c>
      <c r="F4" s="5">
        <v>300</v>
      </c>
      <c r="G4" s="13">
        <v>880</v>
      </c>
      <c r="H4" s="13">
        <f t="shared" si="0"/>
        <v>580</v>
      </c>
      <c r="I4" s="13">
        <v>880</v>
      </c>
      <c r="J4" s="13">
        <f t="shared" si="1"/>
        <v>580</v>
      </c>
      <c r="K4" s="13">
        <f t="shared" si="2"/>
        <v>0</v>
      </c>
      <c r="L4" s="71">
        <f t="shared" si="3"/>
        <v>0</v>
      </c>
      <c r="M4" s="155" t="s">
        <v>87</v>
      </c>
      <c r="N4" s="40"/>
      <c r="O4">
        <f t="shared" si="4"/>
        <v>6</v>
      </c>
      <c r="P4" s="11">
        <f t="shared" si="5"/>
        <v>20.688690585666233</v>
      </c>
      <c r="Q4" s="186">
        <f t="shared" si="6"/>
        <v>25</v>
      </c>
      <c r="R4" s="186">
        <f t="shared" si="7"/>
        <v>7</v>
      </c>
      <c r="S4" s="186">
        <f t="shared" si="8"/>
        <v>12</v>
      </c>
      <c r="T4" s="186">
        <f t="shared" si="9"/>
        <v>14</v>
      </c>
      <c r="U4" s="189">
        <f t="shared" si="10"/>
        <v>1.501901312934028</v>
      </c>
      <c r="V4" s="190">
        <v>0.95</v>
      </c>
    </row>
    <row r="5" spans="1:25" x14ac:dyDescent="0.2">
      <c r="A5" s="1" t="s">
        <v>354</v>
      </c>
      <c r="B5" s="12">
        <v>98.7</v>
      </c>
      <c r="C5" s="138">
        <f>(B5/$X$1)*stat!$E$22</f>
        <v>5.1406250000000001E-2</v>
      </c>
      <c r="D5" s="14">
        <v>37.6</v>
      </c>
      <c r="E5" s="14">
        <v>37.6</v>
      </c>
      <c r="F5" s="5">
        <v>154</v>
      </c>
      <c r="G5" s="13">
        <v>764</v>
      </c>
      <c r="H5" s="8">
        <f t="shared" si="0"/>
        <v>610</v>
      </c>
      <c r="I5" s="13">
        <v>764</v>
      </c>
      <c r="J5" s="8">
        <f t="shared" si="1"/>
        <v>610</v>
      </c>
      <c r="K5" s="13">
        <f t="shared" si="2"/>
        <v>0</v>
      </c>
      <c r="L5" s="71">
        <f t="shared" si="3"/>
        <v>0</v>
      </c>
      <c r="M5" s="155" t="s">
        <v>88</v>
      </c>
      <c r="N5" s="7"/>
      <c r="O5">
        <f t="shared" si="4"/>
        <v>3</v>
      </c>
      <c r="P5" s="11">
        <f t="shared" si="5"/>
        <v>22.679733009982634</v>
      </c>
      <c r="Q5" s="186">
        <f t="shared" si="6"/>
        <v>24</v>
      </c>
      <c r="R5" s="186">
        <f t="shared" si="7"/>
        <v>18</v>
      </c>
      <c r="S5" s="186">
        <f t="shared" si="8"/>
        <v>6</v>
      </c>
      <c r="T5" s="186">
        <f t="shared" si="9"/>
        <v>16</v>
      </c>
      <c r="U5" s="189">
        <f t="shared" si="10"/>
        <v>1.4920876980251734</v>
      </c>
      <c r="V5" s="190">
        <v>0.95</v>
      </c>
    </row>
    <row r="6" spans="1:25" x14ac:dyDescent="0.2">
      <c r="A6" s="1" t="s">
        <v>351</v>
      </c>
      <c r="B6" s="12">
        <v>144</v>
      </c>
      <c r="C6" s="138">
        <f>(B6/$X$1)*stat!$E$22</f>
        <v>7.4999999999999997E-2</v>
      </c>
      <c r="D6" s="14">
        <v>26.7</v>
      </c>
      <c r="E6" s="14">
        <v>26.7</v>
      </c>
      <c r="F6" s="5">
        <v>417</v>
      </c>
      <c r="G6" s="13">
        <v>950</v>
      </c>
      <c r="H6" s="13">
        <f t="shared" si="0"/>
        <v>533</v>
      </c>
      <c r="I6" s="13">
        <v>950</v>
      </c>
      <c r="J6" s="13">
        <f t="shared" si="1"/>
        <v>533</v>
      </c>
      <c r="K6" s="13">
        <f t="shared" si="2"/>
        <v>0</v>
      </c>
      <c r="L6" s="71">
        <f t="shared" si="3"/>
        <v>0</v>
      </c>
      <c r="M6" s="155" t="s">
        <v>86</v>
      </c>
      <c r="N6" s="7"/>
      <c r="O6">
        <f t="shared" si="4"/>
        <v>7</v>
      </c>
      <c r="P6" s="11">
        <f t="shared" si="5"/>
        <v>19.767184787326382</v>
      </c>
      <c r="Q6" s="186">
        <f t="shared" si="6"/>
        <v>23</v>
      </c>
      <c r="R6" s="186">
        <f t="shared" si="7"/>
        <v>9</v>
      </c>
      <c r="S6" s="186">
        <f t="shared" si="8"/>
        <v>13</v>
      </c>
      <c r="T6" s="186">
        <f t="shared" si="9"/>
        <v>13</v>
      </c>
      <c r="U6" s="189">
        <f t="shared" si="10"/>
        <v>1.4350043402777775</v>
      </c>
      <c r="V6" s="190">
        <v>0.95</v>
      </c>
    </row>
    <row r="7" spans="1:25" x14ac:dyDescent="0.2">
      <c r="A7" s="1" t="s">
        <v>350</v>
      </c>
      <c r="B7" s="12">
        <v>151</v>
      </c>
      <c r="C7" s="138">
        <f>(B7/$X$1)*stat!$E$22</f>
        <v>7.8645833333333331E-2</v>
      </c>
      <c r="D7" s="14">
        <v>22</v>
      </c>
      <c r="E7" s="14">
        <v>22.6</v>
      </c>
      <c r="F7" s="5">
        <v>226</v>
      </c>
      <c r="G7" s="13">
        <v>670</v>
      </c>
      <c r="H7" s="13">
        <f t="shared" si="0"/>
        <v>444</v>
      </c>
      <c r="I7" s="13">
        <v>687</v>
      </c>
      <c r="J7" s="13">
        <f t="shared" si="1"/>
        <v>461</v>
      </c>
      <c r="K7" s="13">
        <f t="shared" si="2"/>
        <v>17</v>
      </c>
      <c r="L7" s="71">
        <f t="shared" si="3"/>
        <v>0.60000000000000142</v>
      </c>
      <c r="M7" s="155" t="s">
        <v>358</v>
      </c>
      <c r="N7" s="40"/>
      <c r="O7">
        <f t="shared" si="4"/>
        <v>21</v>
      </c>
      <c r="P7" s="11">
        <f t="shared" si="5"/>
        <v>14.619398939344618</v>
      </c>
      <c r="Q7" s="186">
        <f t="shared" si="6"/>
        <v>22</v>
      </c>
      <c r="R7" s="186">
        <f t="shared" si="7"/>
        <v>5</v>
      </c>
      <c r="S7" s="186">
        <f t="shared" si="8"/>
        <v>4</v>
      </c>
      <c r="T7" s="186">
        <f t="shared" si="9"/>
        <v>10</v>
      </c>
      <c r="U7" s="189">
        <f t="shared" si="10"/>
        <v>1.4262828233506946</v>
      </c>
      <c r="V7" s="190">
        <v>1</v>
      </c>
    </row>
    <row r="8" spans="1:25" x14ac:dyDescent="0.2">
      <c r="A8" s="1" t="s">
        <v>349</v>
      </c>
      <c r="B8" s="12">
        <v>188</v>
      </c>
      <c r="C8" s="138">
        <f>(B8/$X$1)*stat!$E$22</f>
        <v>9.7916666666666666E-2</v>
      </c>
      <c r="D8" s="71">
        <v>12.6</v>
      </c>
      <c r="E8" s="71">
        <v>12.6</v>
      </c>
      <c r="F8" s="5">
        <v>225</v>
      </c>
      <c r="G8" s="72">
        <v>673</v>
      </c>
      <c r="H8" s="13">
        <f t="shared" si="0"/>
        <v>448</v>
      </c>
      <c r="I8" s="72">
        <v>673</v>
      </c>
      <c r="J8" s="13">
        <f t="shared" si="1"/>
        <v>448</v>
      </c>
      <c r="K8" s="72">
        <f t="shared" si="2"/>
        <v>0</v>
      </c>
      <c r="L8" s="71">
        <f t="shared" si="3"/>
        <v>0</v>
      </c>
      <c r="M8" s="155" t="s">
        <v>358</v>
      </c>
      <c r="N8" s="40"/>
      <c r="O8">
        <f t="shared" si="4"/>
        <v>24</v>
      </c>
      <c r="P8" s="11">
        <f t="shared" si="5"/>
        <v>11.390156250000002</v>
      </c>
      <c r="Q8" s="186">
        <f t="shared" si="6"/>
        <v>20</v>
      </c>
      <c r="R8" s="186">
        <f t="shared" si="7"/>
        <v>2</v>
      </c>
      <c r="S8" s="186">
        <f t="shared" si="8"/>
        <v>3</v>
      </c>
      <c r="T8" s="186">
        <f t="shared" si="9"/>
        <v>8</v>
      </c>
      <c r="U8" s="189">
        <f t="shared" si="10"/>
        <v>1.3806250000000002</v>
      </c>
      <c r="V8" s="190">
        <v>1</v>
      </c>
    </row>
    <row r="9" spans="1:25" x14ac:dyDescent="0.2">
      <c r="A9" s="1" t="s">
        <v>326</v>
      </c>
      <c r="B9" s="12">
        <v>185</v>
      </c>
      <c r="C9" s="138">
        <f>(B9/$X$1)*stat!$E$22</f>
        <v>9.6354166666666657E-2</v>
      </c>
      <c r="D9" s="14">
        <v>20.6</v>
      </c>
      <c r="E9" s="14">
        <v>21.1</v>
      </c>
      <c r="F9" s="5">
        <v>330</v>
      </c>
      <c r="G9" s="13">
        <v>810</v>
      </c>
      <c r="H9" s="5">
        <f t="shared" si="0"/>
        <v>480</v>
      </c>
      <c r="I9" s="13">
        <v>810</v>
      </c>
      <c r="J9" s="5">
        <f t="shared" si="1"/>
        <v>480</v>
      </c>
      <c r="K9" s="13">
        <f t="shared" si="2"/>
        <v>0</v>
      </c>
      <c r="L9" s="71"/>
      <c r="M9" s="155" t="s">
        <v>326</v>
      </c>
      <c r="N9" s="40"/>
      <c r="O9">
        <f t="shared" si="4"/>
        <v>20</v>
      </c>
      <c r="P9" s="11">
        <f t="shared" si="5"/>
        <v>15.57336730957031</v>
      </c>
      <c r="Q9" s="186">
        <f t="shared" si="6"/>
        <v>21</v>
      </c>
      <c r="R9" s="186">
        <f t="shared" si="7"/>
        <v>4</v>
      </c>
      <c r="S9" s="186">
        <f t="shared" si="8"/>
        <v>8</v>
      </c>
      <c r="T9" s="186">
        <f t="shared" si="9"/>
        <v>12</v>
      </c>
      <c r="U9" s="189">
        <f t="shared" si="10"/>
        <v>1.3842993164062498</v>
      </c>
      <c r="V9" s="190">
        <v>1</v>
      </c>
    </row>
    <row r="10" spans="1:25" x14ac:dyDescent="0.2">
      <c r="A10" s="1" t="s">
        <v>403</v>
      </c>
      <c r="B10" s="12">
        <v>194</v>
      </c>
      <c r="C10" s="138">
        <f>(B10/$X$1)*stat!$E$22</f>
        <v>0.10104166666666665</v>
      </c>
      <c r="D10" s="14">
        <v>20.399999999999999</v>
      </c>
      <c r="E10" s="14">
        <v>20.399999999999999</v>
      </c>
      <c r="F10" s="5">
        <v>429</v>
      </c>
      <c r="G10" s="13">
        <v>689</v>
      </c>
      <c r="H10" s="5">
        <f t="shared" si="0"/>
        <v>260</v>
      </c>
      <c r="I10" s="13">
        <v>689</v>
      </c>
      <c r="J10" s="5">
        <f t="shared" si="1"/>
        <v>260</v>
      </c>
      <c r="K10" s="13">
        <f t="shared" si="2"/>
        <v>0</v>
      </c>
      <c r="L10" s="71">
        <f t="shared" ref="L10:L19" si="11">E10-D10</f>
        <v>0</v>
      </c>
      <c r="M10" s="155" t="s">
        <v>403</v>
      </c>
      <c r="N10" s="40"/>
      <c r="O10">
        <f t="shared" si="4"/>
        <v>27</v>
      </c>
      <c r="P10" s="11">
        <f t="shared" si="5"/>
        <v>9.13238525390625</v>
      </c>
      <c r="Q10" s="186">
        <f t="shared" si="6"/>
        <v>19</v>
      </c>
      <c r="R10" s="186">
        <f t="shared" si="7"/>
        <v>3</v>
      </c>
      <c r="S10" s="186">
        <f t="shared" si="8"/>
        <v>5</v>
      </c>
      <c r="T10" s="186">
        <f t="shared" si="9"/>
        <v>1</v>
      </c>
      <c r="U10" s="189">
        <f t="shared" si="10"/>
        <v>1.373291015625</v>
      </c>
      <c r="V10" s="190">
        <v>0.95</v>
      </c>
    </row>
    <row r="11" spans="1:25" x14ac:dyDescent="0.2">
      <c r="A11" s="1" t="s">
        <v>339</v>
      </c>
      <c r="B11" s="12">
        <v>249</v>
      </c>
      <c r="C11" s="138">
        <f>(B11/$X$1)*stat!$E$22</f>
        <v>0.12968749999999998</v>
      </c>
      <c r="D11" s="14">
        <v>42.5</v>
      </c>
      <c r="E11" s="14">
        <v>43.24</v>
      </c>
      <c r="F11" s="5">
        <v>133</v>
      </c>
      <c r="G11" s="13">
        <v>1150</v>
      </c>
      <c r="H11" s="13">
        <f t="shared" si="0"/>
        <v>1017</v>
      </c>
      <c r="I11" s="13">
        <v>1164</v>
      </c>
      <c r="J11" s="13">
        <f t="shared" si="1"/>
        <v>1031</v>
      </c>
      <c r="K11" s="13">
        <f t="shared" si="2"/>
        <v>14</v>
      </c>
      <c r="L11" s="71">
        <f t="shared" si="11"/>
        <v>0.74000000000000199</v>
      </c>
      <c r="M11" s="155" t="s">
        <v>85</v>
      </c>
      <c r="N11" s="40"/>
      <c r="O11">
        <f t="shared" si="4"/>
        <v>1</v>
      </c>
      <c r="P11" s="11">
        <f t="shared" si="5"/>
        <v>25.159228854709205</v>
      </c>
      <c r="Q11" s="186">
        <f t="shared" si="6"/>
        <v>13</v>
      </c>
      <c r="R11" s="186">
        <f t="shared" si="7"/>
        <v>22</v>
      </c>
      <c r="S11" s="186">
        <f t="shared" si="8"/>
        <v>18</v>
      </c>
      <c r="T11" s="186">
        <f t="shared" si="9"/>
        <v>24</v>
      </c>
      <c r="U11" s="189">
        <f t="shared" si="10"/>
        <v>1.3069729275173614</v>
      </c>
      <c r="V11" s="190">
        <v>1</v>
      </c>
    </row>
    <row r="12" spans="1:25" x14ac:dyDescent="0.2">
      <c r="A12" s="1" t="s">
        <v>335</v>
      </c>
      <c r="B12" s="12">
        <v>198</v>
      </c>
      <c r="C12" s="138">
        <f>(B12/$X$1)*stat!$E$22</f>
        <v>0.10312499999999999</v>
      </c>
      <c r="D12" s="14">
        <v>38</v>
      </c>
      <c r="E12" s="14">
        <v>38</v>
      </c>
      <c r="F12" s="5">
        <v>400</v>
      </c>
      <c r="G12" s="13">
        <v>841</v>
      </c>
      <c r="H12" s="8">
        <f t="shared" si="0"/>
        <v>441</v>
      </c>
      <c r="I12" s="13">
        <v>841</v>
      </c>
      <c r="J12" s="8">
        <f t="shared" si="1"/>
        <v>441</v>
      </c>
      <c r="K12" s="13">
        <f t="shared" si="2"/>
        <v>0</v>
      </c>
      <c r="L12" s="71">
        <f t="shared" si="11"/>
        <v>0</v>
      </c>
      <c r="M12" s="155" t="s">
        <v>335</v>
      </c>
      <c r="N12" s="40"/>
      <c r="O12">
        <f t="shared" si="4"/>
        <v>14</v>
      </c>
      <c r="P12" s="11">
        <f t="shared" si="5"/>
        <v>16.934105224609375</v>
      </c>
      <c r="Q12" s="186">
        <f t="shared" si="6"/>
        <v>18</v>
      </c>
      <c r="R12" s="186">
        <f t="shared" si="7"/>
        <v>20</v>
      </c>
      <c r="S12" s="186">
        <f t="shared" si="8"/>
        <v>11</v>
      </c>
      <c r="T12" s="186">
        <f t="shared" si="9"/>
        <v>6</v>
      </c>
      <c r="U12" s="189">
        <f t="shared" si="10"/>
        <v>1.3684125434027776</v>
      </c>
      <c r="V12" s="190">
        <v>0.9</v>
      </c>
    </row>
    <row r="13" spans="1:25" x14ac:dyDescent="0.2">
      <c r="A13" s="1" t="s">
        <v>406</v>
      </c>
      <c r="B13" s="12">
        <v>212</v>
      </c>
      <c r="C13" s="138">
        <f>(B13/$X$1)*stat!$E$22</f>
        <v>0.11041666666666666</v>
      </c>
      <c r="D13" s="14">
        <v>24.2</v>
      </c>
      <c r="E13" s="14">
        <v>24.2</v>
      </c>
      <c r="F13" s="5">
        <v>415</v>
      </c>
      <c r="G13" s="13">
        <v>816</v>
      </c>
      <c r="H13" s="13">
        <f t="shared" si="0"/>
        <v>401</v>
      </c>
      <c r="I13" s="13">
        <v>816</v>
      </c>
      <c r="J13" s="13">
        <f t="shared" si="1"/>
        <v>401</v>
      </c>
      <c r="K13" s="13">
        <f t="shared" si="2"/>
        <v>0</v>
      </c>
      <c r="L13" s="71">
        <f t="shared" si="11"/>
        <v>0</v>
      </c>
      <c r="M13" s="155" t="s">
        <v>406</v>
      </c>
      <c r="N13" s="40"/>
      <c r="O13">
        <f t="shared" si="4"/>
        <v>23</v>
      </c>
      <c r="P13" s="11">
        <f t="shared" si="5"/>
        <v>12.5005078125</v>
      </c>
      <c r="Q13" s="186">
        <f t="shared" si="6"/>
        <v>17</v>
      </c>
      <c r="R13" s="186">
        <f t="shared" si="7"/>
        <v>8</v>
      </c>
      <c r="S13" s="186">
        <f t="shared" si="8"/>
        <v>9</v>
      </c>
      <c r="T13" s="186">
        <f t="shared" si="9"/>
        <v>3</v>
      </c>
      <c r="U13" s="189">
        <f t="shared" si="10"/>
        <v>1.3514062500000001</v>
      </c>
      <c r="V13" s="190">
        <v>1</v>
      </c>
    </row>
    <row r="14" spans="1:25" x14ac:dyDescent="0.2">
      <c r="A14" s="1" t="s">
        <v>327</v>
      </c>
      <c r="B14" s="12">
        <v>223</v>
      </c>
      <c r="C14" s="138">
        <f>(B14/$X$1)*stat!$E$22</f>
        <v>0.11614583333333334</v>
      </c>
      <c r="D14" s="14">
        <v>27.1</v>
      </c>
      <c r="E14" s="14">
        <v>29.6</v>
      </c>
      <c r="F14" s="5">
        <v>575</v>
      </c>
      <c r="G14" s="13">
        <v>955</v>
      </c>
      <c r="H14" s="13">
        <f t="shared" si="0"/>
        <v>380</v>
      </c>
      <c r="I14" s="13">
        <v>978</v>
      </c>
      <c r="J14" s="13">
        <f t="shared" si="1"/>
        <v>403</v>
      </c>
      <c r="K14" s="13">
        <f t="shared" si="2"/>
        <v>23</v>
      </c>
      <c r="L14" s="71">
        <f t="shared" si="11"/>
        <v>2.5</v>
      </c>
      <c r="M14" s="155" t="s">
        <v>327</v>
      </c>
      <c r="N14" s="40"/>
      <c r="O14">
        <f t="shared" si="4"/>
        <v>19</v>
      </c>
      <c r="P14" s="11">
        <f t="shared" si="5"/>
        <v>15.722895439995659</v>
      </c>
      <c r="Q14" s="186">
        <f t="shared" si="6"/>
        <v>16</v>
      </c>
      <c r="R14" s="186">
        <f t="shared" si="7"/>
        <v>13</v>
      </c>
      <c r="S14" s="186">
        <f t="shared" si="8"/>
        <v>14</v>
      </c>
      <c r="T14" s="186">
        <f t="shared" si="9"/>
        <v>4</v>
      </c>
      <c r="U14" s="189">
        <f t="shared" si="10"/>
        <v>1.3381187608506944</v>
      </c>
      <c r="V14" s="190">
        <v>1</v>
      </c>
    </row>
    <row r="15" spans="1:25" x14ac:dyDescent="0.2">
      <c r="A15" s="1" t="s">
        <v>330</v>
      </c>
      <c r="B15" s="12">
        <v>244</v>
      </c>
      <c r="C15" s="138">
        <f>(B15/$X$1)*stat!$E$22</f>
        <v>0.12708333333333333</v>
      </c>
      <c r="D15" s="14">
        <v>10.5</v>
      </c>
      <c r="E15" s="14">
        <v>10.5</v>
      </c>
      <c r="F15" s="5">
        <v>635</v>
      </c>
      <c r="G15" s="13">
        <v>1051</v>
      </c>
      <c r="H15" s="13">
        <f t="shared" si="0"/>
        <v>416</v>
      </c>
      <c r="I15" s="13">
        <v>1051</v>
      </c>
      <c r="J15" s="13">
        <f t="shared" si="1"/>
        <v>416</v>
      </c>
      <c r="K15" s="13">
        <f t="shared" si="2"/>
        <v>0</v>
      </c>
      <c r="L15" s="71">
        <f t="shared" si="11"/>
        <v>0</v>
      </c>
      <c r="M15" s="155" t="s">
        <v>330</v>
      </c>
      <c r="N15" s="40"/>
      <c r="O15">
        <f t="shared" si="4"/>
        <v>25</v>
      </c>
      <c r="P15" s="11">
        <f t="shared" si="5"/>
        <v>11.2255859375</v>
      </c>
      <c r="Q15" s="186">
        <f t="shared" si="6"/>
        <v>15</v>
      </c>
      <c r="R15" s="186">
        <f t="shared" si="7"/>
        <v>1</v>
      </c>
      <c r="S15" s="186">
        <f t="shared" si="8"/>
        <v>15</v>
      </c>
      <c r="T15" s="186">
        <f t="shared" si="9"/>
        <v>5</v>
      </c>
      <c r="U15" s="189">
        <f t="shared" si="10"/>
        <v>1.3129340277777777</v>
      </c>
      <c r="V15" s="190">
        <v>0.95</v>
      </c>
    </row>
    <row r="16" spans="1:25" x14ac:dyDescent="0.2">
      <c r="A16" s="1" t="s">
        <v>336</v>
      </c>
      <c r="B16" s="12">
        <v>245</v>
      </c>
      <c r="C16" s="138">
        <f>(B16/$X$1)*stat!$E$22</f>
        <v>0.12760416666666666</v>
      </c>
      <c r="D16" s="14">
        <v>27</v>
      </c>
      <c r="E16" s="14">
        <v>27</v>
      </c>
      <c r="F16" s="5">
        <v>400</v>
      </c>
      <c r="G16" s="13">
        <v>794</v>
      </c>
      <c r="H16" s="13">
        <f t="shared" si="0"/>
        <v>394</v>
      </c>
      <c r="I16" s="13">
        <v>794</v>
      </c>
      <c r="J16" s="13">
        <f t="shared" si="1"/>
        <v>394</v>
      </c>
      <c r="K16" s="13">
        <f t="shared" si="2"/>
        <v>0</v>
      </c>
      <c r="L16" s="71">
        <f t="shared" si="11"/>
        <v>0</v>
      </c>
      <c r="M16" s="155" t="s">
        <v>336</v>
      </c>
      <c r="N16" s="40"/>
      <c r="O16">
        <f t="shared" si="4"/>
        <v>26</v>
      </c>
      <c r="P16" s="11">
        <f t="shared" si="5"/>
        <v>10.280767913818359</v>
      </c>
      <c r="Q16" s="186">
        <f t="shared" si="6"/>
        <v>14</v>
      </c>
      <c r="R16" s="186">
        <f t="shared" si="7"/>
        <v>10</v>
      </c>
      <c r="S16" s="186">
        <f t="shared" si="8"/>
        <v>7</v>
      </c>
      <c r="T16" s="186">
        <f t="shared" si="9"/>
        <v>2</v>
      </c>
      <c r="U16" s="189">
        <f t="shared" si="10"/>
        <v>1.3117407226562499</v>
      </c>
      <c r="V16" s="190">
        <v>0.95</v>
      </c>
    </row>
    <row r="17" spans="1:22" x14ac:dyDescent="0.2">
      <c r="A17" s="1" t="s">
        <v>340</v>
      </c>
      <c r="B17" s="12">
        <v>296</v>
      </c>
      <c r="C17" s="138">
        <f>(B17/$X$1)*stat!$E$22</f>
        <v>0.15416666666666667</v>
      </c>
      <c r="D17" s="14">
        <v>21.2</v>
      </c>
      <c r="E17" s="14">
        <v>29.8</v>
      </c>
      <c r="F17" s="5">
        <v>850</v>
      </c>
      <c r="G17" s="13">
        <v>1242</v>
      </c>
      <c r="H17" s="13">
        <f t="shared" si="0"/>
        <v>392</v>
      </c>
      <c r="I17" s="13">
        <v>1493</v>
      </c>
      <c r="J17" s="13">
        <f t="shared" si="1"/>
        <v>643</v>
      </c>
      <c r="K17" s="13">
        <f t="shared" si="2"/>
        <v>251</v>
      </c>
      <c r="L17" s="71">
        <f t="shared" si="11"/>
        <v>8.6000000000000014</v>
      </c>
      <c r="M17" s="155" t="s">
        <v>85</v>
      </c>
      <c r="N17" s="40"/>
      <c r="O17">
        <f t="shared" si="4"/>
        <v>8</v>
      </c>
      <c r="P17" s="11">
        <f t="shared" si="5"/>
        <v>19.321599121093747</v>
      </c>
      <c r="Q17" s="186">
        <f t="shared" si="6"/>
        <v>12</v>
      </c>
      <c r="R17" s="186">
        <f t="shared" si="7"/>
        <v>14</v>
      </c>
      <c r="S17" s="186">
        <f t="shared" si="8"/>
        <v>22</v>
      </c>
      <c r="T17" s="186">
        <f t="shared" si="9"/>
        <v>17</v>
      </c>
      <c r="U17" s="189">
        <f t="shared" si="10"/>
        <v>1.2516015624999999</v>
      </c>
      <c r="V17" s="190">
        <v>0.95</v>
      </c>
    </row>
    <row r="18" spans="1:22" x14ac:dyDescent="0.2">
      <c r="A18" s="1" t="s">
        <v>338</v>
      </c>
      <c r="B18" s="12">
        <v>337</v>
      </c>
      <c r="C18" s="138">
        <f>(B18/$X$1)*stat!$E$22</f>
        <v>0.17552083333333335</v>
      </c>
      <c r="D18" s="14">
        <v>29.6</v>
      </c>
      <c r="E18" s="14">
        <v>29.6</v>
      </c>
      <c r="F18" s="5">
        <v>375</v>
      </c>
      <c r="G18" s="13">
        <v>1220</v>
      </c>
      <c r="H18" s="8">
        <f t="shared" si="0"/>
        <v>845</v>
      </c>
      <c r="I18" s="13">
        <v>1284</v>
      </c>
      <c r="J18" s="8">
        <f t="shared" si="1"/>
        <v>909</v>
      </c>
      <c r="K18" s="13">
        <f t="shared" si="2"/>
        <v>64</v>
      </c>
      <c r="L18" s="71">
        <f t="shared" si="11"/>
        <v>0</v>
      </c>
      <c r="M18" s="155" t="s">
        <v>85</v>
      </c>
      <c r="N18" s="40"/>
      <c r="O18">
        <f t="shared" si="4"/>
        <v>11</v>
      </c>
      <c r="P18" s="11">
        <f t="shared" si="5"/>
        <v>17.341597656249998</v>
      </c>
      <c r="Q18" s="186">
        <f t="shared" si="6"/>
        <v>10</v>
      </c>
      <c r="R18" s="186">
        <f t="shared" si="7"/>
        <v>13</v>
      </c>
      <c r="S18" s="186">
        <f t="shared" si="8"/>
        <v>19</v>
      </c>
      <c r="T18" s="186">
        <f t="shared" si="9"/>
        <v>22</v>
      </c>
      <c r="U18" s="189">
        <f t="shared" si="10"/>
        <v>1.2042776150173611</v>
      </c>
      <c r="V18" s="190">
        <v>0.9</v>
      </c>
    </row>
    <row r="19" spans="1:22" x14ac:dyDescent="0.2">
      <c r="A19" s="1" t="s">
        <v>325</v>
      </c>
      <c r="B19" s="12">
        <v>325</v>
      </c>
      <c r="C19" s="138">
        <f>(B19/$X$1)*stat!$E$22</f>
        <v>0.16927083333333331</v>
      </c>
      <c r="D19" s="14">
        <v>52</v>
      </c>
      <c r="E19" s="14">
        <v>54.8</v>
      </c>
      <c r="F19" s="5">
        <v>652</v>
      </c>
      <c r="G19" s="13">
        <v>1037</v>
      </c>
      <c r="H19" s="13">
        <f t="shared" si="0"/>
        <v>385</v>
      </c>
      <c r="I19" s="13">
        <v>1129</v>
      </c>
      <c r="J19" s="13">
        <f t="shared" si="1"/>
        <v>477</v>
      </c>
      <c r="K19" s="13">
        <f t="shared" si="2"/>
        <v>92</v>
      </c>
      <c r="L19" s="71">
        <f t="shared" si="11"/>
        <v>2.7999999999999972</v>
      </c>
      <c r="M19" s="155" t="s">
        <v>414</v>
      </c>
      <c r="N19" s="40"/>
      <c r="O19">
        <f t="shared" si="4"/>
        <v>9</v>
      </c>
      <c r="P19" s="11">
        <f t="shared" si="5"/>
        <v>19.184037475585932</v>
      </c>
      <c r="Q19" s="186">
        <f t="shared" si="6"/>
        <v>11</v>
      </c>
      <c r="R19" s="186">
        <f t="shared" si="7"/>
        <v>25</v>
      </c>
      <c r="S19" s="186">
        <f t="shared" si="8"/>
        <v>16</v>
      </c>
      <c r="T19" s="186">
        <f t="shared" si="9"/>
        <v>11</v>
      </c>
      <c r="U19" s="189">
        <f t="shared" si="10"/>
        <v>1.2180341254340274</v>
      </c>
      <c r="V19" s="190">
        <v>1</v>
      </c>
    </row>
    <row r="20" spans="1:22" x14ac:dyDescent="0.2">
      <c r="A20" s="1" t="s">
        <v>419</v>
      </c>
      <c r="B20" s="12">
        <v>346</v>
      </c>
      <c r="C20" s="138">
        <f>(B20/$X$1)*stat!$E$22</f>
        <v>0.18020833333333333</v>
      </c>
      <c r="D20" s="14">
        <v>51.4</v>
      </c>
      <c r="E20" s="14">
        <v>51.4</v>
      </c>
      <c r="F20" s="5">
        <v>240</v>
      </c>
      <c r="G20" s="13">
        <v>820</v>
      </c>
      <c r="H20" s="8">
        <f t="shared" si="0"/>
        <v>580</v>
      </c>
      <c r="I20" s="13">
        <v>834</v>
      </c>
      <c r="J20" s="8">
        <f t="shared" si="1"/>
        <v>594</v>
      </c>
      <c r="K20" s="13">
        <f t="shared" si="2"/>
        <v>14</v>
      </c>
      <c r="L20" s="71">
        <v>1.2</v>
      </c>
      <c r="M20" s="155" t="s">
        <v>324</v>
      </c>
      <c r="N20" s="40"/>
      <c r="O20">
        <f t="shared" si="4"/>
        <v>12</v>
      </c>
      <c r="P20" s="11">
        <f t="shared" si="5"/>
        <v>17.313166775173613</v>
      </c>
      <c r="Q20" s="186">
        <f t="shared" si="6"/>
        <v>9</v>
      </c>
      <c r="R20" s="186">
        <f t="shared" si="7"/>
        <v>24</v>
      </c>
      <c r="S20" s="186">
        <f t="shared" si="8"/>
        <v>10</v>
      </c>
      <c r="T20" s="186">
        <f t="shared" si="9"/>
        <v>15</v>
      </c>
      <c r="U20" s="189">
        <f t="shared" si="10"/>
        <v>1.1940115017361113</v>
      </c>
      <c r="V20" s="190">
        <v>1</v>
      </c>
    </row>
    <row r="21" spans="1:22" x14ac:dyDescent="0.2">
      <c r="A21" s="1" t="s">
        <v>337</v>
      </c>
      <c r="B21" s="12">
        <v>350</v>
      </c>
      <c r="C21" s="138">
        <f>(B21/$X$1)*stat!$E$22</f>
        <v>0.18229166666666666</v>
      </c>
      <c r="D21" s="14">
        <v>43</v>
      </c>
      <c r="E21" s="14">
        <v>57.4</v>
      </c>
      <c r="F21" s="5">
        <v>300</v>
      </c>
      <c r="G21" s="13">
        <v>1190</v>
      </c>
      <c r="H21" s="13">
        <f t="shared" si="0"/>
        <v>890</v>
      </c>
      <c r="I21" s="13">
        <v>1414</v>
      </c>
      <c r="J21" s="13">
        <f t="shared" si="1"/>
        <v>1114</v>
      </c>
      <c r="K21" s="13">
        <f t="shared" si="2"/>
        <v>224</v>
      </c>
      <c r="L21" s="71">
        <f t="shared" ref="L21:L28" si="12">E21-D21</f>
        <v>14.399999999999999</v>
      </c>
      <c r="M21" s="155" t="s">
        <v>85</v>
      </c>
      <c r="N21" s="40"/>
      <c r="O21">
        <f t="shared" si="4"/>
        <v>2</v>
      </c>
      <c r="P21" s="11">
        <f t="shared" si="5"/>
        <v>23.789257812500001</v>
      </c>
      <c r="Q21" s="186">
        <f t="shared" si="6"/>
        <v>8</v>
      </c>
      <c r="R21" s="186">
        <f t="shared" si="7"/>
        <v>27</v>
      </c>
      <c r="S21" s="186">
        <f t="shared" si="8"/>
        <v>20</v>
      </c>
      <c r="T21" s="186">
        <f t="shared" si="9"/>
        <v>25</v>
      </c>
      <c r="U21" s="189">
        <f t="shared" si="10"/>
        <v>1.189462890625</v>
      </c>
      <c r="V21" s="190">
        <v>1</v>
      </c>
    </row>
    <row r="22" spans="1:22" x14ac:dyDescent="0.2">
      <c r="A22" s="1" t="s">
        <v>571</v>
      </c>
      <c r="B22" s="12">
        <v>370</v>
      </c>
      <c r="C22" s="138">
        <f>(B22/$X$1)*stat!$E$22</f>
        <v>0.19270833333333331</v>
      </c>
      <c r="D22" s="14">
        <v>19.260000000000002</v>
      </c>
      <c r="E22" s="14">
        <v>23.26</v>
      </c>
      <c r="F22" s="5">
        <v>760</v>
      </c>
      <c r="G22" s="13">
        <v>1407</v>
      </c>
      <c r="H22" s="8">
        <f t="shared" si="0"/>
        <v>647</v>
      </c>
      <c r="I22" s="13">
        <v>1625</v>
      </c>
      <c r="J22" s="8">
        <f t="shared" si="1"/>
        <v>865</v>
      </c>
      <c r="K22" s="13">
        <f t="shared" si="2"/>
        <v>218</v>
      </c>
      <c r="L22" s="71">
        <f t="shared" si="12"/>
        <v>4</v>
      </c>
      <c r="M22" s="155" t="s">
        <v>414</v>
      </c>
      <c r="N22" s="40"/>
      <c r="O22">
        <f t="shared" si="4"/>
        <v>16</v>
      </c>
      <c r="P22" s="11">
        <f t="shared" si="5"/>
        <v>16.335900607638884</v>
      </c>
      <c r="Q22" s="186">
        <f t="shared" si="6"/>
        <v>7</v>
      </c>
      <c r="R22" s="186">
        <f t="shared" si="7"/>
        <v>6</v>
      </c>
      <c r="S22" s="186">
        <f t="shared" si="8"/>
        <v>23</v>
      </c>
      <c r="T22" s="186">
        <f t="shared" si="9"/>
        <v>20</v>
      </c>
      <c r="U22" s="189">
        <f t="shared" si="10"/>
        <v>1.1668500434027775</v>
      </c>
      <c r="V22" s="190">
        <v>1</v>
      </c>
    </row>
    <row r="23" spans="1:22" x14ac:dyDescent="0.2">
      <c r="A23" s="1" t="s">
        <v>322</v>
      </c>
      <c r="B23" s="12">
        <v>382</v>
      </c>
      <c r="C23" s="138">
        <f>(B23/$X$1)*stat!$E$22</f>
        <v>0.19895833333333335</v>
      </c>
      <c r="D23" s="14">
        <v>20.2</v>
      </c>
      <c r="E23" s="14">
        <v>35.799999999999997</v>
      </c>
      <c r="F23" s="5">
        <v>586</v>
      </c>
      <c r="G23" s="13">
        <v>1120</v>
      </c>
      <c r="H23" s="8">
        <f t="shared" si="0"/>
        <v>534</v>
      </c>
      <c r="I23" s="13">
        <v>1456</v>
      </c>
      <c r="J23" s="8">
        <f t="shared" si="1"/>
        <v>870</v>
      </c>
      <c r="K23" s="13">
        <f t="shared" si="2"/>
        <v>336</v>
      </c>
      <c r="L23" s="71">
        <f t="shared" si="12"/>
        <v>15.599999999999998</v>
      </c>
      <c r="M23" s="155" t="s">
        <v>322</v>
      </c>
      <c r="N23" s="40"/>
      <c r="O23">
        <f t="shared" si="4"/>
        <v>10</v>
      </c>
      <c r="P23" s="11">
        <f t="shared" si="5"/>
        <v>17.805404120551213</v>
      </c>
      <c r="Q23" s="186">
        <f t="shared" si="6"/>
        <v>6</v>
      </c>
      <c r="R23" s="186">
        <f t="shared" si="7"/>
        <v>17</v>
      </c>
      <c r="S23" s="186">
        <f t="shared" si="8"/>
        <v>21</v>
      </c>
      <c r="T23" s="186">
        <f t="shared" si="9"/>
        <v>21</v>
      </c>
      <c r="U23" s="189">
        <f t="shared" si="10"/>
        <v>1.1533865017361111</v>
      </c>
      <c r="V23" s="190">
        <v>0.95</v>
      </c>
    </row>
    <row r="24" spans="1:22" x14ac:dyDescent="0.2">
      <c r="A24" s="1" t="s">
        <v>415</v>
      </c>
      <c r="B24" s="12">
        <v>404</v>
      </c>
      <c r="C24" s="138">
        <f>(B24/$X$1)*stat!$E$22</f>
        <v>0.21041666666666664</v>
      </c>
      <c r="D24" s="14">
        <v>48.2</v>
      </c>
      <c r="E24" s="14">
        <v>48.2</v>
      </c>
      <c r="F24" s="5">
        <v>284</v>
      </c>
      <c r="G24" s="13">
        <v>1141</v>
      </c>
      <c r="H24" s="13">
        <f t="shared" si="0"/>
        <v>857</v>
      </c>
      <c r="I24" s="13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187" t="s">
        <v>324</v>
      </c>
      <c r="N24" s="40"/>
      <c r="O24">
        <f t="shared" si="4"/>
        <v>22</v>
      </c>
      <c r="P24" s="11">
        <f t="shared" si="5"/>
        <v>14.22421875</v>
      </c>
      <c r="Q24" s="186">
        <f t="shared" si="6"/>
        <v>4</v>
      </c>
      <c r="R24" s="186">
        <f t="shared" si="7"/>
        <v>23</v>
      </c>
      <c r="S24" s="186">
        <f t="shared" si="8"/>
        <v>17</v>
      </c>
      <c r="T24" s="186">
        <f t="shared" si="9"/>
        <v>19</v>
      </c>
      <c r="U24" s="189">
        <f t="shared" si="10"/>
        <v>1.12890625</v>
      </c>
      <c r="V24" s="190">
        <v>0.8</v>
      </c>
    </row>
    <row r="25" spans="1:22" x14ac:dyDescent="0.2">
      <c r="A25" s="1" t="s">
        <v>425</v>
      </c>
      <c r="B25" s="12">
        <v>404</v>
      </c>
      <c r="C25" s="138">
        <f>(B25/$X$1)*stat!$E$22</f>
        <v>0.21041666666666664</v>
      </c>
      <c r="D25" s="14">
        <v>28.6</v>
      </c>
      <c r="E25" s="14">
        <v>28.6</v>
      </c>
      <c r="F25" s="5">
        <v>920</v>
      </c>
      <c r="G25" s="13">
        <v>1761</v>
      </c>
      <c r="H25" s="13">
        <f t="shared" si="0"/>
        <v>841</v>
      </c>
      <c r="I25" s="13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187" t="s">
        <v>414</v>
      </c>
      <c r="N25" s="40"/>
      <c r="O25">
        <f t="shared" si="4"/>
        <v>17</v>
      </c>
      <c r="P25" s="11">
        <f t="shared" si="5"/>
        <v>16.0869140625</v>
      </c>
      <c r="Q25" s="186">
        <f t="shared" si="6"/>
        <v>4</v>
      </c>
      <c r="R25" s="186">
        <f t="shared" si="7"/>
        <v>11</v>
      </c>
      <c r="S25" s="186">
        <f t="shared" si="8"/>
        <v>24</v>
      </c>
      <c r="T25" s="186">
        <f t="shared" si="9"/>
        <v>18</v>
      </c>
      <c r="U25" s="189">
        <f t="shared" si="10"/>
        <v>1.12890625</v>
      </c>
      <c r="V25" s="190">
        <v>1</v>
      </c>
    </row>
    <row r="26" spans="1:22" x14ac:dyDescent="0.2">
      <c r="A26" s="1" t="s">
        <v>494</v>
      </c>
      <c r="B26" s="12">
        <v>460</v>
      </c>
      <c r="C26" s="138">
        <f>(B26/$X$1)*stat!$E$22</f>
        <v>0.23958333333333331</v>
      </c>
      <c r="D26" s="14">
        <v>30</v>
      </c>
      <c r="E26" s="14">
        <v>30</v>
      </c>
      <c r="F26" s="5">
        <v>1065</v>
      </c>
      <c r="G26" s="13">
        <v>2037</v>
      </c>
      <c r="H26" s="72">
        <f t="shared" si="0"/>
        <v>972</v>
      </c>
      <c r="I26" s="13">
        <v>2037</v>
      </c>
      <c r="J26" s="72">
        <f t="shared" si="1"/>
        <v>972</v>
      </c>
      <c r="K26" s="13">
        <f t="shared" si="2"/>
        <v>0</v>
      </c>
      <c r="L26" s="71">
        <f t="shared" si="12"/>
        <v>0</v>
      </c>
      <c r="M26" s="155" t="s">
        <v>414</v>
      </c>
      <c r="N26" s="40"/>
      <c r="O26">
        <f t="shared" si="4"/>
        <v>18</v>
      </c>
      <c r="P26" s="11">
        <f t="shared" si="5"/>
        <v>15.856499999999997</v>
      </c>
      <c r="Q26" s="186">
        <f t="shared" si="6"/>
        <v>3</v>
      </c>
      <c r="R26" s="186">
        <f t="shared" si="7"/>
        <v>15</v>
      </c>
      <c r="S26" s="186">
        <f t="shared" si="8"/>
        <v>25</v>
      </c>
      <c r="T26" s="186">
        <f t="shared" si="9"/>
        <v>23</v>
      </c>
      <c r="U26" s="189">
        <f t="shared" si="10"/>
        <v>1.0677777777777775</v>
      </c>
      <c r="V26" s="190">
        <v>0.9</v>
      </c>
    </row>
    <row r="27" spans="1:22" x14ac:dyDescent="0.2">
      <c r="A27" s="1" t="s">
        <v>413</v>
      </c>
      <c r="B27" s="12">
        <v>478</v>
      </c>
      <c r="C27" s="138">
        <f>(B27/$X$1)*stat!$E$22</f>
        <v>0.24895833333333331</v>
      </c>
      <c r="D27" s="14">
        <v>30.6</v>
      </c>
      <c r="E27" s="14">
        <v>30.6</v>
      </c>
      <c r="F27" s="5">
        <v>1442</v>
      </c>
      <c r="G27" s="13">
        <v>2803</v>
      </c>
      <c r="H27" s="13">
        <f t="shared" si="0"/>
        <v>1361</v>
      </c>
      <c r="I27" s="13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155" t="s">
        <v>414</v>
      </c>
      <c r="N27" s="40"/>
      <c r="O27">
        <f t="shared" si="4"/>
        <v>15</v>
      </c>
      <c r="P27" s="11">
        <f t="shared" si="5"/>
        <v>16.513728027343749</v>
      </c>
      <c r="Q27" s="186">
        <f t="shared" si="6"/>
        <v>2</v>
      </c>
      <c r="R27" s="186">
        <f t="shared" si="7"/>
        <v>16</v>
      </c>
      <c r="S27" s="186">
        <f t="shared" si="8"/>
        <v>26</v>
      </c>
      <c r="T27" s="186">
        <f t="shared" si="9"/>
        <v>26</v>
      </c>
      <c r="U27" s="189">
        <f t="shared" si="10"/>
        <v>1.0484906684027777</v>
      </c>
      <c r="V27" s="190">
        <v>0.9</v>
      </c>
    </row>
    <row r="28" spans="1:22" x14ac:dyDescent="0.2">
      <c r="A28" s="1" t="s">
        <v>412</v>
      </c>
      <c r="B28" s="12">
        <v>524</v>
      </c>
      <c r="C28" s="138">
        <f>(B28/$X$1)*stat!$E$22</f>
        <v>0.27291666666666664</v>
      </c>
      <c r="D28" s="14">
        <v>50.8</v>
      </c>
      <c r="E28" s="14">
        <v>55.2</v>
      </c>
      <c r="F28" s="5">
        <v>900</v>
      </c>
      <c r="G28" s="13">
        <v>2757</v>
      </c>
      <c r="H28" s="13">
        <f t="shared" si="0"/>
        <v>1857</v>
      </c>
      <c r="I28" s="13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155" t="s">
        <v>414</v>
      </c>
      <c r="N28" s="40"/>
      <c r="O28">
        <f t="shared" si="4"/>
        <v>13</v>
      </c>
      <c r="P28" s="11">
        <f t="shared" si="5"/>
        <v>17.212499999999999</v>
      </c>
      <c r="Q28" s="186">
        <f t="shared" si="6"/>
        <v>1</v>
      </c>
      <c r="R28" s="186">
        <f t="shared" si="7"/>
        <v>26</v>
      </c>
      <c r="S28" s="186">
        <f t="shared" si="8"/>
        <v>27</v>
      </c>
      <c r="T28" s="186">
        <f t="shared" si="9"/>
        <v>27</v>
      </c>
      <c r="U28" s="189">
        <f t="shared" si="10"/>
        <v>1</v>
      </c>
      <c r="V28" s="190">
        <v>0.85</v>
      </c>
    </row>
    <row r="29" spans="1:22" x14ac:dyDescent="0.2">
      <c r="A29" s="1"/>
      <c r="H29" s="13"/>
      <c r="J29" s="13"/>
      <c r="M29" s="187"/>
      <c r="N29" s="40"/>
    </row>
    <row r="30" spans="1:22" x14ac:dyDescent="0.2">
      <c r="A30" s="1"/>
      <c r="H30" s="13"/>
      <c r="J30" s="13"/>
      <c r="M30" s="187"/>
      <c r="N30" s="40"/>
    </row>
    <row r="31" spans="1:22" x14ac:dyDescent="0.2">
      <c r="A31" s="1"/>
      <c r="H31" s="13"/>
      <c r="J31" s="13"/>
      <c r="M31" s="187"/>
      <c r="N31" s="40"/>
    </row>
    <row r="32" spans="1:22" x14ac:dyDescent="0.2">
      <c r="A32" s="1"/>
      <c r="H32" s="13"/>
      <c r="J32" s="13"/>
      <c r="M32" s="187"/>
      <c r="N32" s="40"/>
    </row>
    <row r="33" spans="1:14" x14ac:dyDescent="0.2">
      <c r="A33" s="1"/>
      <c r="H33" s="13"/>
      <c r="J33" s="13"/>
      <c r="M33" s="187"/>
      <c r="N33" s="40"/>
    </row>
    <row r="34" spans="1:14" x14ac:dyDescent="0.2">
      <c r="A34" s="1"/>
      <c r="H34" s="13"/>
      <c r="J34" s="13"/>
      <c r="M34" s="187"/>
      <c r="N34" s="40"/>
    </row>
    <row r="35" spans="1:14" x14ac:dyDescent="0.2">
      <c r="A35" s="1"/>
      <c r="H35" s="13"/>
      <c r="J35" s="13"/>
      <c r="M35" s="187"/>
      <c r="N35" s="40"/>
    </row>
    <row r="36" spans="1:14" x14ac:dyDescent="0.2">
      <c r="A36" s="1"/>
      <c r="H36" s="13"/>
      <c r="J36" s="13"/>
      <c r="M36" s="187"/>
      <c r="N36" s="40"/>
    </row>
    <row r="37" spans="1:14" x14ac:dyDescent="0.2">
      <c r="A37" s="1"/>
      <c r="H37" s="13"/>
      <c r="J37" s="13"/>
      <c r="M37" s="187"/>
      <c r="N37" s="40"/>
    </row>
    <row r="38" spans="1:14" x14ac:dyDescent="0.2">
      <c r="A38" s="1"/>
      <c r="H38" s="13"/>
      <c r="J38" s="13"/>
      <c r="M38" s="187"/>
      <c r="N38" s="40"/>
    </row>
    <row r="39" spans="1:14" x14ac:dyDescent="0.2">
      <c r="A39" s="1"/>
      <c r="H39" s="13"/>
      <c r="J39" s="13"/>
      <c r="M39" s="187"/>
      <c r="N39" s="40"/>
    </row>
    <row r="40" spans="1:14" x14ac:dyDescent="0.2">
      <c r="H40" s="13"/>
      <c r="J40" s="13"/>
      <c r="M40" s="187"/>
      <c r="N40" s="40"/>
    </row>
    <row r="41" spans="1:14" x14ac:dyDescent="0.2">
      <c r="H41" s="13"/>
      <c r="J41" s="13"/>
      <c r="M41" s="187"/>
      <c r="N41" s="40"/>
    </row>
    <row r="42" spans="1:14" x14ac:dyDescent="0.2">
      <c r="H42" s="13"/>
      <c r="J42" s="13"/>
      <c r="M42" s="187"/>
      <c r="N42" s="40"/>
    </row>
  </sheetData>
  <sortState xmlns:xlrd2="http://schemas.microsoft.com/office/spreadsheetml/2017/richdata2" ref="A2:V28">
    <sortCondition ref="C1"/>
  </sortState>
  <conditionalFormatting sqref="B2:B1048576">
    <cfRule type="cellIs" dxfId="1200" priority="63" operator="equal">
      <formula>MAX($B:$B)</formula>
    </cfRule>
    <cfRule type="cellIs" dxfId="1199" priority="64" operator="equal">
      <formula>MIN($B:$B)</formula>
    </cfRule>
    <cfRule type="cellIs" dxfId="1198" priority="65" stopIfTrue="1" operator="equal">
      <formula>0</formula>
    </cfRule>
    <cfRule type="cellIs" dxfId="1197" priority="114" stopIfTrue="1" operator="between">
      <formula>0.1</formula>
      <formula>99.9</formula>
    </cfRule>
    <cfRule type="cellIs" dxfId="1196" priority="115" stopIfTrue="1" operator="between">
      <formula>100</formula>
      <formula>199.9</formula>
    </cfRule>
    <cfRule type="cellIs" dxfId="1195" priority="116" stopIfTrue="1" operator="between">
      <formula>200</formula>
      <formula>399.99</formula>
    </cfRule>
    <cfRule type="cellIs" dxfId="1194" priority="117" stopIfTrue="1" operator="between">
      <formula>400</formula>
      <formula>9999.99</formula>
    </cfRule>
  </conditionalFormatting>
  <conditionalFormatting sqref="C1:C1048576">
    <cfRule type="cellIs" dxfId="1193" priority="61" operator="equal">
      <formula>MAX($C:$C)</formula>
    </cfRule>
    <cfRule type="cellIs" dxfId="1192" priority="62" operator="equal">
      <formula>MIN($C:$C)</formula>
    </cfRule>
    <cfRule type="cellIs" dxfId="1191" priority="80" stopIfTrue="1" operator="equal">
      <formula>0</formula>
    </cfRule>
    <cfRule type="cellIs" dxfId="1190" priority="107" stopIfTrue="1" operator="between">
      <formula>0.0000115740740740741</formula>
      <formula>0.0416665509259259</formula>
    </cfRule>
    <cfRule type="cellIs" dxfId="1189" priority="108" stopIfTrue="1" operator="between">
      <formula>1.15740740740741E-07</formula>
      <formula>0.0833332175925926</formula>
    </cfRule>
    <cfRule type="cellIs" dxfId="1188" priority="109" stopIfTrue="1" operator="between">
      <formula>0.0833333333333333</formula>
      <formula>0.104166550925926</formula>
    </cfRule>
    <cfRule type="cellIs" dxfId="1187" priority="110" stopIfTrue="1" operator="between">
      <formula>0.104166666666667</formula>
      <formula>0.124999884259259</formula>
    </cfRule>
    <cfRule type="cellIs" dxfId="1186" priority="111" stopIfTrue="1" operator="between">
      <formula>0.125</formula>
      <formula>0.145833217592593</formula>
    </cfRule>
    <cfRule type="cellIs" dxfId="1185" priority="112" stopIfTrue="1" operator="between">
      <formula>0.145833333333333</formula>
      <formula>0.166655092592593</formula>
    </cfRule>
    <cfRule type="cellIs" dxfId="1184" priority="113" stopIfTrue="1" operator="between">
      <formula>0.166666666666667</formula>
      <formula>4.16665509259259</formula>
    </cfRule>
  </conditionalFormatting>
  <conditionalFormatting sqref="D1:E1048576">
    <cfRule type="cellIs" dxfId="1183" priority="104" stopIfTrue="1" operator="between">
      <formula>0</formula>
      <formula>19.99</formula>
    </cfRule>
    <cfRule type="cellIs" dxfId="1182" priority="105" stopIfTrue="1" operator="between">
      <formula>20</formula>
      <formula>49.99</formula>
    </cfRule>
    <cfRule type="cellIs" dxfId="1181" priority="106" stopIfTrue="1" operator="between">
      <formula>50</formula>
      <formula>9999</formula>
    </cfRule>
  </conditionalFormatting>
  <conditionalFormatting sqref="F1:F1048576">
    <cfRule type="cellIs" dxfId="1180" priority="55" operator="equal">
      <formula>MAX($F:$F)</formula>
    </cfRule>
    <cfRule type="cellIs" dxfId="1179" priority="56" operator="equal">
      <formula>MIN($F:$F)</formula>
    </cfRule>
    <cfRule type="cellIs" dxfId="1178" priority="101" stopIfTrue="1" operator="between">
      <formula>0</formula>
      <formula>199.99</formula>
    </cfRule>
    <cfRule type="cellIs" dxfId="1177" priority="102" stopIfTrue="1" operator="between">
      <formula>200</formula>
      <formula>399.99</formula>
    </cfRule>
    <cfRule type="cellIs" dxfId="1176" priority="103" stopIfTrue="1" operator="between">
      <formula>400</formula>
      <formula>9999.99</formula>
    </cfRule>
  </conditionalFormatting>
  <conditionalFormatting sqref="G1:G1048576">
    <cfRule type="cellIs" dxfId="1175" priority="53" operator="equal">
      <formula>MAX($G:$G)</formula>
    </cfRule>
    <cfRule type="cellIs" dxfId="1174" priority="54" operator="equal">
      <formula>MIN($G:$G)</formula>
    </cfRule>
    <cfRule type="cellIs" dxfId="1173" priority="98" stopIfTrue="1" operator="between">
      <formula>0</formula>
      <formula>499.99</formula>
    </cfRule>
    <cfRule type="cellIs" dxfId="1172" priority="99" stopIfTrue="1" operator="between">
      <formula>500</formula>
      <formula>999.99</formula>
    </cfRule>
    <cfRule type="cellIs" dxfId="1171" priority="100" stopIfTrue="1" operator="between">
      <formula>1000</formula>
      <formula>9999.99</formula>
    </cfRule>
  </conditionalFormatting>
  <conditionalFormatting sqref="I1:I1048576">
    <cfRule type="cellIs" dxfId="1170" priority="49" operator="equal">
      <formula>MAX($I:$I)</formula>
    </cfRule>
    <cfRule type="cellIs" dxfId="1169" priority="50" operator="equal">
      <formula>MIN($I:$I)</formula>
    </cfRule>
    <cfRule type="cellIs" dxfId="1168" priority="70" stopIfTrue="1" operator="between">
      <formula>0</formula>
      <formula>499.99</formula>
    </cfRule>
    <cfRule type="cellIs" dxfId="1167" priority="95" stopIfTrue="1" operator="between">
      <formula>500</formula>
      <formula>999.99</formula>
    </cfRule>
    <cfRule type="cellIs" dxfId="1166" priority="96" stopIfTrue="1" operator="between">
      <formula>1000</formula>
      <formula>1499.99</formula>
    </cfRule>
    <cfRule type="cellIs" dxfId="1165" priority="97" stopIfTrue="1" operator="between">
      <formula>1500</formula>
      <formula>9999.99</formula>
    </cfRule>
  </conditionalFormatting>
  <conditionalFormatting sqref="H1:H1048576">
    <cfRule type="cellIs" dxfId="1164" priority="16" operator="equal">
      <formula>MAX($H:$H)</formula>
    </cfRule>
    <cfRule type="cellIs" dxfId="1163" priority="46" operator="equal">
      <formula>MIN($H:$H)</formula>
    </cfRule>
    <cfRule type="cellIs" dxfId="1162" priority="51" stopIfTrue="1" operator="between">
      <formula>0</formula>
      <formula>399.99</formula>
    </cfRule>
    <cfRule type="cellIs" dxfId="1161" priority="52" stopIfTrue="1" operator="between">
      <formula>400</formula>
      <formula>499.99</formula>
    </cfRule>
    <cfRule type="cellIs" dxfId="1160" priority="92" stopIfTrue="1" operator="between">
      <formula>500</formula>
      <formula>999.99</formula>
    </cfRule>
    <cfRule type="cellIs" dxfId="1159" priority="93" stopIfTrue="1" operator="between">
      <formula>1000</formula>
      <formula>1999.99</formula>
    </cfRule>
    <cfRule type="cellIs" dxfId="1158" priority="94" stopIfTrue="1" operator="between">
      <formula>2000</formula>
      <formula>9999</formula>
    </cfRule>
  </conditionalFormatting>
  <conditionalFormatting sqref="M1:N1 M12:N1048576 M11 M7:N10 M2:M6">
    <cfRule type="cellIs" dxfId="1157" priority="21" stopIfTrue="1" operator="equal">
      <formula>"Hunsrück"</formula>
    </cfRule>
    <cfRule type="cellIs" dxfId="1156" priority="22" stopIfTrue="1" operator="equal">
      <formula>"Fränkische Alb"</formula>
    </cfRule>
    <cfRule type="cellIs" dxfId="1155" priority="71" stopIfTrue="1" operator="equal">
      <formula>"Bayerischer Wald"</formula>
    </cfRule>
    <cfRule type="cellIs" dxfId="1154" priority="72" stopIfTrue="1" operator="equal">
      <formula>"Harz"</formula>
    </cfRule>
    <cfRule type="cellIs" dxfId="1153" priority="73" stopIfTrue="1" operator="equal">
      <formula>"Fichtelgebirge"</formula>
    </cfRule>
    <cfRule type="cellIs" dxfId="1152" priority="74" stopIfTrue="1" operator="equal">
      <formula>"Frankenwald"</formula>
    </cfRule>
    <cfRule type="cellIs" dxfId="1151" priority="75" stopIfTrue="1" operator="equal">
      <formula>"Thüringer Wald"</formula>
    </cfRule>
    <cfRule type="cellIs" dxfId="1150" priority="76" stopIfTrue="1" operator="equal">
      <formula>"Rothaargebirge"</formula>
    </cfRule>
    <cfRule type="cellIs" dxfId="1149" priority="77" stopIfTrue="1" operator="equal">
      <formula>"Schwäbische Alb"</formula>
    </cfRule>
    <cfRule type="cellIs" dxfId="1148" priority="78" stopIfTrue="1" operator="equal">
      <formula>"Alpen"</formula>
    </cfRule>
    <cfRule type="cellIs" dxfId="1147" priority="79" stopIfTrue="1" operator="equal">
      <formula>"Pfalz"</formula>
    </cfRule>
    <cfRule type="cellIs" dxfId="1146" priority="82" stopIfTrue="1" operator="equal">
      <formula>"Schwarzwald"</formula>
    </cfRule>
    <cfRule type="cellIs" dxfId="1145" priority="83" stopIfTrue="1" operator="equal">
      <formula>"Vogelsberg"</formula>
    </cfRule>
    <cfRule type="cellIs" dxfId="1144" priority="84" stopIfTrue="1" operator="equal">
      <formula>"Rhön"</formula>
    </cfRule>
    <cfRule type="cellIs" dxfId="1143" priority="85" stopIfTrue="1" operator="equal">
      <formula>"Schwarzwald"</formula>
    </cfRule>
    <cfRule type="cellIs" dxfId="1142" priority="86" stopIfTrue="1" operator="equal">
      <formula>"Taunus"</formula>
    </cfRule>
    <cfRule type="cellIs" dxfId="1141" priority="87" stopIfTrue="1" operator="equal">
      <formula>"Spessart"</formula>
    </cfRule>
    <cfRule type="cellIs" dxfId="1140" priority="88" stopIfTrue="1" operator="equal">
      <formula>"Odenwald"</formula>
    </cfRule>
  </conditionalFormatting>
  <conditionalFormatting sqref="G1:G1048576">
    <cfRule type="cellIs" dxfId="1139" priority="66" stopIfTrue="1" operator="between">
      <formula>0</formula>
      <formula>499.99</formula>
    </cfRule>
    <cfRule type="cellIs" dxfId="1138" priority="67" stopIfTrue="1" operator="between">
      <formula>500</formula>
      <formula>999.99</formula>
    </cfRule>
    <cfRule type="cellIs" dxfId="1137" priority="68" stopIfTrue="1" operator="between">
      <formula>1000</formula>
      <formula>1499.99</formula>
    </cfRule>
    <cfRule type="cellIs" dxfId="1136" priority="69" stopIfTrue="1" operator="between">
      <formula>1500</formula>
      <formula>9999.99</formula>
    </cfRule>
  </conditionalFormatting>
  <conditionalFormatting sqref="D1:D1048576">
    <cfRule type="cellIs" dxfId="1135" priority="59" operator="equal">
      <formula>MAX($D:$D)</formula>
    </cfRule>
    <cfRule type="cellIs" dxfId="1134" priority="60" operator="equal">
      <formula>MIN($D:$D)</formula>
    </cfRule>
  </conditionalFormatting>
  <conditionalFormatting sqref="E1:E1048576">
    <cfRule type="cellIs" dxfId="1133" priority="57" operator="equal">
      <formula>MAX($E:$E)</formula>
    </cfRule>
    <cfRule type="cellIs" dxfId="1132" priority="58" operator="equal">
      <formula>MIN($E:$E)</formula>
    </cfRule>
  </conditionalFormatting>
  <conditionalFormatting sqref="L1:L1048576">
    <cfRule type="cellIs" dxfId="1131" priority="23" operator="equal">
      <formula>MAX($L:$L)</formula>
    </cfRule>
    <cfRule type="cellIs" dxfId="1130" priority="36" stopIfTrue="1" operator="equal">
      <formula>0</formula>
    </cfRule>
    <cfRule type="cellIs" dxfId="1129" priority="37" stopIfTrue="1" operator="between">
      <formula>0.0001</formula>
      <formula>4.99</formula>
    </cfRule>
    <cfRule type="cellIs" dxfId="1128" priority="38" stopIfTrue="1" operator="between">
      <formula>5</formula>
      <formula>9.99</formula>
    </cfRule>
    <cfRule type="cellIs" dxfId="1127" priority="39" stopIfTrue="1" operator="between">
      <formula>10</formula>
      <formula>9999</formula>
    </cfRule>
  </conditionalFormatting>
  <conditionalFormatting sqref="K1:K1048576">
    <cfRule type="cellIs" dxfId="1126" priority="24" operator="equal">
      <formula>MAX($K:$K)</formula>
    </cfRule>
    <cfRule type="cellIs" dxfId="1125" priority="30" stopIfTrue="1" operator="equal">
      <formula>0</formula>
    </cfRule>
    <cfRule type="cellIs" dxfId="1124" priority="31" stopIfTrue="1" operator="between">
      <formula>0.0001</formula>
      <formula>99.99</formula>
    </cfRule>
    <cfRule type="cellIs" dxfId="1123" priority="32" stopIfTrue="1" operator="between">
      <formula>100</formula>
      <formula>199.99</formula>
    </cfRule>
    <cfRule type="cellIs" dxfId="1122" priority="33" stopIfTrue="1" operator="between">
      <formula>200</formula>
      <formula>9999</formula>
    </cfRule>
  </conditionalFormatting>
  <conditionalFormatting sqref="A1:A1048576">
    <cfRule type="expression" dxfId="1121" priority="25" stopIfTrue="1">
      <formula>K1="+Hm"</formula>
    </cfRule>
    <cfRule type="expression" dxfId="1120" priority="27" stopIfTrue="1">
      <formula>K1=0</formula>
    </cfRule>
    <cfRule type="expression" dxfId="1119" priority="29">
      <formula>K1&gt;0</formula>
    </cfRule>
  </conditionalFormatting>
  <conditionalFormatting sqref="O1:O1048576">
    <cfRule type="cellIs" dxfId="1118" priority="7" stopIfTrue="1" operator="equal">
      <formula>MIN($O:$O)</formula>
    </cfRule>
    <cfRule type="cellIs" dxfId="1117" priority="18" stopIfTrue="1" operator="equal">
      <formula>MAX($O:$O)</formula>
    </cfRule>
    <cfRule type="cellIs" dxfId="1116" priority="19" stopIfTrue="1" operator="between">
      <formula>11</formula>
      <formula>MAX(O:O)-1</formula>
    </cfRule>
    <cfRule type="cellIs" dxfId="1115" priority="20" stopIfTrue="1" operator="between">
      <formula>2</formula>
      <formula>10</formula>
    </cfRule>
  </conditionalFormatting>
  <conditionalFormatting sqref="J1:J1048576">
    <cfRule type="cellIs" dxfId="1114" priority="9" operator="equal">
      <formula>MAX($H:$H)</formula>
    </cfRule>
    <cfRule type="cellIs" dxfId="1113" priority="10" operator="equal">
      <formula>MIN($H:$H)</formula>
    </cfRule>
    <cfRule type="cellIs" dxfId="1112" priority="11" stopIfTrue="1" operator="between">
      <formula>0</formula>
      <formula>399.99</formula>
    </cfRule>
    <cfRule type="cellIs" dxfId="1111" priority="12" stopIfTrue="1" operator="between">
      <formula>400</formula>
      <formula>499.99</formula>
    </cfRule>
    <cfRule type="cellIs" dxfId="1110" priority="13" stopIfTrue="1" operator="between">
      <formula>500</formula>
      <formula>999.99</formula>
    </cfRule>
    <cfRule type="cellIs" dxfId="1109" priority="14" stopIfTrue="1" operator="between">
      <formula>1000</formula>
      <formula>1999.99</formula>
    </cfRule>
    <cfRule type="cellIs" dxfId="1108" priority="15" stopIfTrue="1" operator="between">
      <formula>2000</formula>
      <formula>9999</formula>
    </cfRule>
  </conditionalFormatting>
  <conditionalFormatting sqref="O1:O1048576">
    <cfRule type="cellIs" dxfId="1107" priority="8" stopIfTrue="1" operator="equal">
      <formula>2</formula>
    </cfRule>
    <cfRule type="cellIs" dxfId="1106" priority="17" stopIfTrue="1" operator="equal">
      <formula>MAX($O:$O)-1</formula>
    </cfRule>
  </conditionalFormatting>
  <conditionalFormatting sqref="B1">
    <cfRule type="cellIs" dxfId="1105" priority="1" stopIfTrue="1" operator="between">
      <formula>0</formula>
      <formula>399.99</formula>
    </cfRule>
    <cfRule type="cellIs" dxfId="1104" priority="2" stopIfTrue="1" operator="between">
      <formula>400</formula>
      <formula>449.99</formula>
    </cfRule>
    <cfRule type="cellIs" dxfId="1103" priority="3" stopIfTrue="1" operator="between">
      <formula>450</formula>
      <formula>499.99</formula>
    </cfRule>
    <cfRule type="cellIs" dxfId="1102" priority="4" stopIfTrue="1" operator="between">
      <formula>500</formula>
      <formula>549.99</formula>
    </cfRule>
    <cfRule type="cellIs" dxfId="1101" priority="5" stopIfTrue="1" operator="between">
      <formula>550</formula>
      <formula>599.99</formula>
    </cfRule>
  </conditionalFormatting>
  <conditionalFormatting sqref="B1">
    <cfRule type="cellIs" dxfId="1100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0" bestFit="1" customWidth="1"/>
    <col min="9" max="9" width="13.140625" style="18" customWidth="1"/>
    <col min="10" max="10" width="6.42578125" bestFit="1" customWidth="1"/>
    <col min="11" max="11" width="26.85546875" bestFit="1" customWidth="1"/>
    <col min="12" max="12" width="2.42578125" customWidth="1"/>
  </cols>
  <sheetData>
    <row r="1" spans="1:16" x14ac:dyDescent="0.2">
      <c r="A1" s="253" t="s">
        <v>124</v>
      </c>
      <c r="B1" s="61" t="s">
        <v>66</v>
      </c>
      <c r="C1" s="199" t="s">
        <v>67</v>
      </c>
      <c r="D1" s="198" t="s">
        <v>68</v>
      </c>
      <c r="E1" s="61" t="s">
        <v>69</v>
      </c>
      <c r="F1" s="61" t="s">
        <v>70</v>
      </c>
      <c r="G1" s="61" t="s">
        <v>315</v>
      </c>
      <c r="H1" s="197" t="s">
        <v>314</v>
      </c>
      <c r="I1" s="61" t="s">
        <v>313</v>
      </c>
      <c r="J1" s="61" t="s">
        <v>452</v>
      </c>
      <c r="K1" s="61" t="s">
        <v>570</v>
      </c>
      <c r="M1" s="335" t="s">
        <v>854</v>
      </c>
      <c r="N1" s="335"/>
      <c r="O1" s="335"/>
      <c r="P1" s="335"/>
    </row>
    <row r="2" spans="1:16" x14ac:dyDescent="0.2">
      <c r="A2" s="334" t="s">
        <v>395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M2" s="57" t="s">
        <v>588</v>
      </c>
      <c r="N2" s="266">
        <f>MAX(G3:G991)</f>
        <v>2700</v>
      </c>
      <c r="O2" s="113" t="s">
        <v>589</v>
      </c>
      <c r="P2" s="267">
        <f>MAX(H3:H991)</f>
        <v>7880</v>
      </c>
    </row>
    <row r="3" spans="1:16" s="21" customFormat="1" x14ac:dyDescent="0.2">
      <c r="A3" s="38" t="s">
        <v>34</v>
      </c>
      <c r="B3" s="22" t="s">
        <v>0</v>
      </c>
      <c r="C3" s="192" t="s">
        <v>238</v>
      </c>
      <c r="D3" s="23" t="s">
        <v>237</v>
      </c>
      <c r="E3" s="21" t="s">
        <v>24</v>
      </c>
      <c r="F3" s="21" t="s">
        <v>1</v>
      </c>
      <c r="G3" s="21" t="s">
        <v>2</v>
      </c>
      <c r="H3" s="24" t="s">
        <v>3</v>
      </c>
      <c r="I3" s="21" t="s">
        <v>35</v>
      </c>
      <c r="J3" s="21" t="s">
        <v>36</v>
      </c>
      <c r="K3" s="21" t="s">
        <v>27</v>
      </c>
      <c r="L3" s="1"/>
      <c r="M3" s="57" t="s">
        <v>106</v>
      </c>
      <c r="N3" s="266">
        <f>MAX(F3:F991)</f>
        <v>2830</v>
      </c>
      <c r="O3" s="57" t="s">
        <v>590</v>
      </c>
      <c r="P3" s="268">
        <f>MAX(C3:C991)</f>
        <v>320.3</v>
      </c>
    </row>
    <row r="4" spans="1:16" ht="25.5" hidden="1" outlineLevel="1" x14ac:dyDescent="0.2">
      <c r="A4" s="1" t="s">
        <v>28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37" t="s">
        <v>6</v>
      </c>
      <c r="I4" s="26" t="s">
        <v>19</v>
      </c>
      <c r="J4" s="26"/>
      <c r="K4" s="28" t="s">
        <v>438</v>
      </c>
      <c r="M4" s="57"/>
    </row>
    <row r="5" spans="1:16" hidden="1" outlineLevel="1" x14ac:dyDescent="0.2">
      <c r="A5" s="1" t="s">
        <v>30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37" t="s">
        <v>6</v>
      </c>
      <c r="I5" s="26" t="s">
        <v>19</v>
      </c>
      <c r="J5" s="26"/>
      <c r="K5" t="s">
        <v>31</v>
      </c>
      <c r="M5" s="57"/>
    </row>
    <row r="6" spans="1:16" ht="25.5" hidden="1" outlineLevel="1" x14ac:dyDescent="0.2">
      <c r="A6" s="1" t="s">
        <v>26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37" t="s">
        <v>6</v>
      </c>
      <c r="I6" s="26" t="s">
        <v>19</v>
      </c>
      <c r="J6" s="26"/>
      <c r="K6" s="28" t="s">
        <v>29</v>
      </c>
      <c r="M6" s="57"/>
    </row>
    <row r="7" spans="1:16" hidden="1" outlineLevel="1" x14ac:dyDescent="0.2">
      <c r="A7" s="1" t="s">
        <v>23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37" t="s">
        <v>6</v>
      </c>
      <c r="I7" s="26" t="s">
        <v>19</v>
      </c>
      <c r="J7" s="26"/>
    </row>
    <row r="8" spans="1:16" hidden="1" outlineLevel="1" x14ac:dyDescent="0.2">
      <c r="A8" s="1" t="s">
        <v>25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37" t="s">
        <v>6</v>
      </c>
      <c r="I8" s="26" t="s">
        <v>19</v>
      </c>
      <c r="J8" s="26"/>
    </row>
    <row r="9" spans="1:16" ht="25.5" hidden="1" outlineLevel="1" x14ac:dyDescent="0.2">
      <c r="A9" s="1" t="s">
        <v>32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37" t="s">
        <v>6</v>
      </c>
      <c r="I9" s="26" t="s">
        <v>19</v>
      </c>
      <c r="J9" s="26"/>
      <c r="K9" s="28" t="s">
        <v>33</v>
      </c>
    </row>
    <row r="10" spans="1:16" s="1" customFormat="1" ht="13.5" collapsed="1" thickBot="1" x14ac:dyDescent="0.25">
      <c r="A10" s="31"/>
      <c r="B10" s="32">
        <f>SUM(B4:B9)</f>
        <v>0.77083333333333337</v>
      </c>
      <c r="C10" s="33">
        <f>SUM(C4:C9)</f>
        <v>166.9</v>
      </c>
      <c r="D10" s="34">
        <f>AVERAGE(D4:D9)</f>
        <v>9.0333333333333332</v>
      </c>
      <c r="E10" s="35">
        <f>MIN(E4:E9)</f>
        <v>200</v>
      </c>
      <c r="F10" s="35">
        <f>MAX(F4:F9)</f>
        <v>2426</v>
      </c>
      <c r="G10" s="36">
        <f>MAX(G4:G9)</f>
        <v>2036</v>
      </c>
      <c r="H10" s="140">
        <f>SUM(G4:G9)</f>
        <v>7026</v>
      </c>
      <c r="I10" s="31"/>
      <c r="J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196"/>
      <c r="I11" s="19"/>
      <c r="J11" s="27"/>
    </row>
    <row r="12" spans="1:16" x14ac:dyDescent="0.2">
      <c r="A12" s="334" t="s">
        <v>228</v>
      </c>
      <c r="B12" s="334"/>
      <c r="C12" s="334"/>
      <c r="D12" s="334"/>
      <c r="E12" s="334"/>
      <c r="F12" s="334"/>
      <c r="G12" s="334"/>
      <c r="H12" s="334"/>
      <c r="I12" s="334"/>
      <c r="J12" s="334"/>
      <c r="K12" s="334"/>
    </row>
    <row r="13" spans="1:16" s="21" customFormat="1" x14ac:dyDescent="0.2">
      <c r="A13" s="39" t="s">
        <v>57</v>
      </c>
      <c r="B13" s="22" t="s">
        <v>0</v>
      </c>
      <c r="C13" s="192" t="s">
        <v>238</v>
      </c>
      <c r="D13" s="23" t="s">
        <v>237</v>
      </c>
      <c r="E13" s="21" t="s">
        <v>24</v>
      </c>
      <c r="F13" s="21" t="s">
        <v>1</v>
      </c>
      <c r="G13" s="21" t="s">
        <v>2</v>
      </c>
      <c r="H13" s="24" t="s">
        <v>3</v>
      </c>
      <c r="I13" s="25" t="s">
        <v>35</v>
      </c>
      <c r="J13" s="21" t="s">
        <v>36</v>
      </c>
      <c r="K13" s="21" t="s">
        <v>52</v>
      </c>
      <c r="L13" s="1"/>
    </row>
    <row r="14" spans="1:16" hidden="1" outlineLevel="1" x14ac:dyDescent="0.2">
      <c r="A14" s="1" t="s">
        <v>108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37" t="s">
        <v>6</v>
      </c>
      <c r="I14" s="26" t="s">
        <v>19</v>
      </c>
      <c r="J14" s="26" t="s">
        <v>51</v>
      </c>
      <c r="K14" s="28"/>
    </row>
    <row r="15" spans="1:16" hidden="1" outlineLevel="1" x14ac:dyDescent="0.2">
      <c r="A15" s="1" t="s">
        <v>109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37" t="s">
        <v>6</v>
      </c>
      <c r="I15" s="26" t="s">
        <v>19</v>
      </c>
      <c r="J15" s="26" t="s">
        <v>51</v>
      </c>
    </row>
    <row r="16" spans="1:16" hidden="1" outlineLevel="1" x14ac:dyDescent="0.2">
      <c r="A16" s="1" t="s">
        <v>110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37" t="s">
        <v>6</v>
      </c>
      <c r="I16" s="26" t="s">
        <v>63</v>
      </c>
      <c r="K16" s="28"/>
    </row>
    <row r="17" spans="1:12" hidden="1" outlineLevel="1" x14ac:dyDescent="0.2">
      <c r="A17" s="1" t="s">
        <v>111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37" t="s">
        <v>6</v>
      </c>
      <c r="I17" s="26" t="s">
        <v>19</v>
      </c>
      <c r="J17" s="26" t="s">
        <v>51</v>
      </c>
    </row>
    <row r="18" spans="1:12" hidden="1" outlineLevel="1" x14ac:dyDescent="0.2">
      <c r="A18" s="1" t="s">
        <v>112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37" t="s">
        <v>6</v>
      </c>
      <c r="I18" s="26" t="s">
        <v>19</v>
      </c>
      <c r="J18" s="26" t="s">
        <v>19</v>
      </c>
      <c r="K18" s="26" t="s">
        <v>51</v>
      </c>
    </row>
    <row r="19" spans="1:12" s="1" customFormat="1" ht="13.5" collapsed="1" thickBot="1" x14ac:dyDescent="0.25">
      <c r="A19" s="31"/>
      <c r="B19" s="32">
        <f>SUM(B14:B18)</f>
        <v>0.78138888888888891</v>
      </c>
      <c r="C19" s="33">
        <f>SUM(C14:C18)</f>
        <v>288.04000000000002</v>
      </c>
      <c r="D19" s="34">
        <f>AVERAGE(D14:D18)</f>
        <v>14.9</v>
      </c>
      <c r="E19" s="35">
        <f>MIN(E14:E18)</f>
        <v>500</v>
      </c>
      <c r="F19" s="35">
        <f>MAX(F14:F18)</f>
        <v>1782</v>
      </c>
      <c r="G19" s="36">
        <f>MAX(G14:G18)</f>
        <v>1555</v>
      </c>
      <c r="H19" s="140">
        <f>SUM(G14:G18)</f>
        <v>4903</v>
      </c>
      <c r="I19" s="37"/>
      <c r="J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196"/>
      <c r="I20" s="19"/>
      <c r="J20" s="27"/>
    </row>
    <row r="21" spans="1:12" x14ac:dyDescent="0.2">
      <c r="A21" s="334" t="s">
        <v>396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</row>
    <row r="22" spans="1:12" s="21" customFormat="1" x14ac:dyDescent="0.2">
      <c r="A22" s="39"/>
      <c r="B22" s="22" t="s">
        <v>0</v>
      </c>
      <c r="C22" s="192" t="s">
        <v>238</v>
      </c>
      <c r="D22" s="23" t="s">
        <v>237</v>
      </c>
      <c r="E22" s="21" t="s">
        <v>24</v>
      </c>
      <c r="F22" s="21" t="s">
        <v>1</v>
      </c>
      <c r="G22" s="21" t="s">
        <v>2</v>
      </c>
      <c r="H22" s="24" t="s">
        <v>3</v>
      </c>
      <c r="I22" s="25" t="s">
        <v>35</v>
      </c>
      <c r="J22" s="21" t="s">
        <v>36</v>
      </c>
      <c r="K22" s="21" t="s">
        <v>52</v>
      </c>
      <c r="L22" s="1"/>
    </row>
    <row r="23" spans="1:12" hidden="1" outlineLevel="1" x14ac:dyDescent="0.2">
      <c r="A23" s="1" t="s">
        <v>341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37" t="s">
        <v>6</v>
      </c>
      <c r="I23" s="26" t="s">
        <v>19</v>
      </c>
      <c r="K23" s="40"/>
    </row>
    <row r="24" spans="1:12" hidden="1" outlineLevel="1" x14ac:dyDescent="0.2">
      <c r="A24" s="1" t="s">
        <v>113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37" t="s">
        <v>6</v>
      </c>
      <c r="I24" s="146" t="s">
        <v>19</v>
      </c>
      <c r="J24" s="26" t="s">
        <v>19</v>
      </c>
      <c r="K24" s="26" t="s">
        <v>19</v>
      </c>
    </row>
    <row r="25" spans="1:12" hidden="1" outlineLevel="1" x14ac:dyDescent="0.2">
      <c r="A25" s="1" t="s">
        <v>122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37" t="s">
        <v>6</v>
      </c>
      <c r="I25" s="26" t="s">
        <v>19</v>
      </c>
      <c r="K25" s="40"/>
    </row>
    <row r="26" spans="1:12" hidden="1" outlineLevel="1" x14ac:dyDescent="0.2">
      <c r="A26" s="1" t="s">
        <v>122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37" t="s">
        <v>6</v>
      </c>
      <c r="I26" s="26" t="s">
        <v>19</v>
      </c>
      <c r="K26" s="40"/>
    </row>
    <row r="27" spans="1:12" hidden="1" outlineLevel="1" x14ac:dyDescent="0.2">
      <c r="A27" s="1" t="s">
        <v>122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37" t="s">
        <v>6</v>
      </c>
      <c r="I27" s="26" t="s">
        <v>19</v>
      </c>
      <c r="K27" s="40"/>
    </row>
    <row r="28" spans="1:12" hidden="1" outlineLevel="1" x14ac:dyDescent="0.2">
      <c r="A28" s="1" t="s">
        <v>122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37" t="s">
        <v>6</v>
      </c>
      <c r="I28" s="26" t="s">
        <v>19</v>
      </c>
      <c r="K28" s="40"/>
    </row>
    <row r="29" spans="1:12" s="1" customFormat="1" ht="13.5" collapsed="1" thickBot="1" x14ac:dyDescent="0.25">
      <c r="A29" s="31"/>
      <c r="B29" s="32">
        <f>SUM(B23:B28)</f>
        <v>0.7</v>
      </c>
      <c r="C29" s="33">
        <f>SUM(C23:C28)</f>
        <v>214.8</v>
      </c>
      <c r="D29" s="34">
        <f>AVERAGE(D23:D28)</f>
        <v>14.133333333333335</v>
      </c>
      <c r="E29" s="35">
        <f>MIN(E24:E24)</f>
        <v>0</v>
      </c>
      <c r="F29" s="35">
        <f>MAX(F23:F28)</f>
        <v>1949</v>
      </c>
      <c r="G29" s="36">
        <f>MAX(G23:G28)</f>
        <v>2700</v>
      </c>
      <c r="H29" s="140">
        <f>SUM(G23:G28)</f>
        <v>5300</v>
      </c>
      <c r="I29" s="26" t="s">
        <v>51</v>
      </c>
      <c r="J29" s="31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196"/>
      <c r="I30" s="19"/>
      <c r="J30" s="27"/>
    </row>
    <row r="31" spans="1:12" x14ac:dyDescent="0.2">
      <c r="A31" s="334" t="s">
        <v>69</v>
      </c>
      <c r="B31" s="334"/>
      <c r="C31" s="334"/>
      <c r="D31" s="334"/>
      <c r="E31" s="334"/>
      <c r="F31" s="334"/>
      <c r="G31" s="334"/>
      <c r="H31" s="334"/>
      <c r="I31" s="334"/>
      <c r="J31" s="334"/>
      <c r="K31" s="334"/>
    </row>
    <row r="32" spans="1:12" s="21" customFormat="1" x14ac:dyDescent="0.2">
      <c r="A32" s="39"/>
      <c r="B32" s="22" t="s">
        <v>0</v>
      </c>
      <c r="C32" s="192" t="s">
        <v>238</v>
      </c>
      <c r="D32" s="23" t="s">
        <v>237</v>
      </c>
      <c r="E32" s="21" t="s">
        <v>24</v>
      </c>
      <c r="F32" s="21" t="s">
        <v>1</v>
      </c>
      <c r="G32" s="21" t="s">
        <v>2</v>
      </c>
      <c r="H32" s="24" t="s">
        <v>3</v>
      </c>
      <c r="I32" s="25" t="s">
        <v>35</v>
      </c>
      <c r="J32" s="21" t="s">
        <v>36</v>
      </c>
      <c r="K32" s="21" t="s">
        <v>52</v>
      </c>
      <c r="L32" s="1"/>
    </row>
    <row r="33" spans="1:12" hidden="1" outlineLevel="1" x14ac:dyDescent="0.2">
      <c r="A33" s="1" t="s">
        <v>114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37" t="s">
        <v>6</v>
      </c>
      <c r="I33" s="7" t="s">
        <v>19</v>
      </c>
      <c r="J33" s="26"/>
      <c r="K33" s="28"/>
    </row>
    <row r="34" spans="1:12" s="1" customFormat="1" ht="13.5" collapsed="1" thickBot="1" x14ac:dyDescent="0.25">
      <c r="A34" s="31"/>
      <c r="B34" s="32">
        <f>SUM(B33:B33)</f>
        <v>0.21388888888888891</v>
      </c>
      <c r="C34" s="33">
        <f>SUM(C33:C33)</f>
        <v>74.2</v>
      </c>
      <c r="D34" s="34">
        <f>AVERAGE(D33)</f>
        <v>14.5</v>
      </c>
      <c r="E34" s="35">
        <f>MIN(E33:E33)</f>
        <v>0</v>
      </c>
      <c r="F34" s="35">
        <f>MAX(F33:F33)</f>
        <v>744</v>
      </c>
      <c r="G34" s="36">
        <f>MAX(G33:G33)</f>
        <v>800</v>
      </c>
      <c r="H34" s="140">
        <f>SUM(G33)</f>
        <v>800</v>
      </c>
      <c r="I34" s="37"/>
      <c r="J34" s="31"/>
    </row>
    <row r="35" spans="1:12" ht="13.5" thickTop="1" x14ac:dyDescent="0.2"/>
    <row r="36" spans="1:12" x14ac:dyDescent="0.2">
      <c r="A36" s="334" t="s">
        <v>70</v>
      </c>
      <c r="B36" s="334"/>
      <c r="C36" s="334"/>
      <c r="D36" s="334"/>
      <c r="E36" s="334"/>
      <c r="F36" s="334"/>
      <c r="G36" s="334"/>
      <c r="H36" s="334"/>
      <c r="I36" s="334"/>
      <c r="J36" s="334"/>
      <c r="K36" s="334"/>
    </row>
    <row r="37" spans="1:12" s="21" customFormat="1" x14ac:dyDescent="0.2">
      <c r="A37" s="39"/>
      <c r="B37" s="22" t="s">
        <v>0</v>
      </c>
      <c r="C37" s="192" t="s">
        <v>238</v>
      </c>
      <c r="D37" s="23" t="s">
        <v>237</v>
      </c>
      <c r="E37" s="21" t="s">
        <v>24</v>
      </c>
      <c r="F37" s="21" t="s">
        <v>1</v>
      </c>
      <c r="G37" s="21" t="s">
        <v>2</v>
      </c>
      <c r="H37" s="24" t="s">
        <v>3</v>
      </c>
      <c r="I37" s="25" t="s">
        <v>35</v>
      </c>
      <c r="J37" s="21" t="s">
        <v>36</v>
      </c>
      <c r="K37" s="21" t="s">
        <v>52</v>
      </c>
      <c r="L37" s="1"/>
    </row>
    <row r="38" spans="1:12" hidden="1" outlineLevel="1" x14ac:dyDescent="0.2">
      <c r="A38" s="1" t="s">
        <v>115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37" t="s">
        <v>6</v>
      </c>
      <c r="I38" s="7" t="s">
        <v>51</v>
      </c>
      <c r="J38" s="26"/>
      <c r="K38" s="40"/>
    </row>
    <row r="39" spans="1:12" hidden="1" outlineLevel="1" x14ac:dyDescent="0.2">
      <c r="A39" s="1" t="s">
        <v>116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37" t="s">
        <v>6</v>
      </c>
      <c r="I39" s="7" t="s">
        <v>51</v>
      </c>
      <c r="J39" s="26"/>
      <c r="K39" s="28"/>
    </row>
    <row r="40" spans="1:12" s="1" customFormat="1" ht="13.5" collapsed="1" thickBot="1" x14ac:dyDescent="0.25">
      <c r="A40" s="31"/>
      <c r="B40" s="32">
        <f>SUM(B38:B39)</f>
        <v>0.41666666666666669</v>
      </c>
      <c r="C40" s="33">
        <f>SUM(C38:C39)</f>
        <v>120</v>
      </c>
      <c r="D40" s="34">
        <f>AVERAGE(D38:D39)</f>
        <v>12</v>
      </c>
      <c r="E40" s="35">
        <f>MIN(E38:E39)</f>
        <v>66</v>
      </c>
      <c r="F40" s="35">
        <f>MAX(F38:F39)</f>
        <v>2079</v>
      </c>
      <c r="G40" s="36">
        <f>MAX(G38:G39)</f>
        <v>2270</v>
      </c>
      <c r="H40" s="140">
        <f>SUM(G38:G39)</f>
        <v>4283</v>
      </c>
      <c r="I40" s="37"/>
      <c r="J40" s="31"/>
    </row>
    <row r="41" spans="1:12" ht="13.5" thickTop="1" x14ac:dyDescent="0.2"/>
    <row r="42" spans="1:12" x14ac:dyDescent="0.2">
      <c r="A42" s="334" t="s">
        <v>222</v>
      </c>
      <c r="B42" s="334"/>
      <c r="C42" s="334"/>
      <c r="D42" s="334"/>
      <c r="E42" s="334"/>
      <c r="F42" s="334"/>
      <c r="G42" s="334"/>
      <c r="H42" s="334"/>
      <c r="I42" s="334"/>
      <c r="J42" s="334"/>
      <c r="K42" s="334"/>
    </row>
    <row r="43" spans="1:12" x14ac:dyDescent="0.2">
      <c r="A43" s="39"/>
      <c r="B43" s="22" t="s">
        <v>0</v>
      </c>
      <c r="C43" s="192" t="s">
        <v>238</v>
      </c>
      <c r="D43" s="23" t="s">
        <v>237</v>
      </c>
      <c r="E43" s="21" t="s">
        <v>24</v>
      </c>
      <c r="F43" s="21" t="s">
        <v>1</v>
      </c>
      <c r="G43" s="21" t="s">
        <v>2</v>
      </c>
      <c r="H43" s="24" t="s">
        <v>3</v>
      </c>
      <c r="I43" s="25" t="s">
        <v>35</v>
      </c>
      <c r="J43" s="21" t="s">
        <v>36</v>
      </c>
      <c r="K43" s="21" t="s">
        <v>52</v>
      </c>
    </row>
    <row r="44" spans="1:12" hidden="1" outlineLevel="1" x14ac:dyDescent="0.2">
      <c r="A44" s="1" t="s">
        <v>118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37" t="s">
        <v>6</v>
      </c>
      <c r="I44" s="26" t="s">
        <v>19</v>
      </c>
      <c r="J44" s="26"/>
      <c r="K44" s="28"/>
    </row>
    <row r="45" spans="1:12" hidden="1" outlineLevel="1" x14ac:dyDescent="0.2">
      <c r="A45" s="1" t="s">
        <v>117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37" t="s">
        <v>6</v>
      </c>
      <c r="I45" s="26" t="s">
        <v>19</v>
      </c>
      <c r="J45" s="26"/>
    </row>
    <row r="46" spans="1:12" hidden="1" outlineLevel="1" x14ac:dyDescent="0.2">
      <c r="A46" s="1" t="s">
        <v>121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37" t="s">
        <v>6</v>
      </c>
      <c r="I46" s="26"/>
      <c r="J46" s="26"/>
      <c r="K46" s="28"/>
    </row>
    <row r="47" spans="1:12" hidden="1" outlineLevel="1" x14ac:dyDescent="0.2">
      <c r="A47" s="1" t="s">
        <v>119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37" t="s">
        <v>6</v>
      </c>
      <c r="I47" s="26"/>
      <c r="J47" s="26"/>
    </row>
    <row r="48" spans="1:12" hidden="1" outlineLevel="1" x14ac:dyDescent="0.2">
      <c r="A48" s="1" t="s">
        <v>120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37" t="s">
        <v>6</v>
      </c>
      <c r="I48" s="26"/>
      <c r="J48" s="26"/>
      <c r="K48" s="26"/>
    </row>
    <row r="49" spans="1:11" ht="13.5" collapsed="1" thickBot="1" x14ac:dyDescent="0.25">
      <c r="A49" s="31"/>
      <c r="B49" s="32">
        <f>SUM(B44:B48)</f>
        <v>0.59305555555555556</v>
      </c>
      <c r="C49" s="33">
        <f>SUM(C44:C48)</f>
        <v>165.8</v>
      </c>
      <c r="D49" s="34">
        <f>AVERAGE(D44:D48)</f>
        <v>11.36</v>
      </c>
      <c r="E49" s="35">
        <f>MIN(E44:E48)</f>
        <v>300</v>
      </c>
      <c r="F49" s="35">
        <f>MAX(F44:F48)</f>
        <v>2050</v>
      </c>
      <c r="G49" s="36">
        <f>MAX(G44:G48)</f>
        <v>1750</v>
      </c>
      <c r="H49" s="140">
        <f>SUM(G44:G48)</f>
        <v>4514</v>
      </c>
      <c r="I49" s="37"/>
      <c r="J49" s="31"/>
      <c r="K49" s="1"/>
    </row>
    <row r="50" spans="1:11" ht="13.5" thickTop="1" x14ac:dyDescent="0.2"/>
    <row r="51" spans="1:11" x14ac:dyDescent="0.2">
      <c r="A51" s="334" t="s">
        <v>223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</row>
    <row r="52" spans="1:11" x14ac:dyDescent="0.2">
      <c r="A52" s="39"/>
      <c r="B52" s="22" t="s">
        <v>0</v>
      </c>
      <c r="C52" s="192" t="s">
        <v>238</v>
      </c>
      <c r="D52" s="23" t="s">
        <v>237</v>
      </c>
      <c r="E52" s="21" t="s">
        <v>24</v>
      </c>
      <c r="F52" s="21" t="s">
        <v>1</v>
      </c>
      <c r="G52" s="21" t="s">
        <v>2</v>
      </c>
      <c r="H52" s="24" t="s">
        <v>3</v>
      </c>
      <c r="I52" s="25" t="s">
        <v>35</v>
      </c>
      <c r="J52" s="21" t="s">
        <v>36</v>
      </c>
      <c r="K52" s="21" t="s">
        <v>52</v>
      </c>
    </row>
    <row r="53" spans="1:11" hidden="1" outlineLevel="1" x14ac:dyDescent="0.2">
      <c r="A53" s="1" t="s">
        <v>224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37" t="s">
        <v>6</v>
      </c>
      <c r="I53" s="26"/>
      <c r="J53" s="26"/>
      <c r="K53" s="28"/>
    </row>
    <row r="54" spans="1:11" hidden="1" outlineLevel="1" x14ac:dyDescent="0.2">
      <c r="A54" s="1" t="s">
        <v>225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37" t="s">
        <v>6</v>
      </c>
      <c r="I54" s="26" t="s">
        <v>19</v>
      </c>
      <c r="J54" s="26" t="s">
        <v>19</v>
      </c>
      <c r="K54" s="26" t="s">
        <v>19</v>
      </c>
    </row>
    <row r="55" spans="1:11" hidden="1" outlineLevel="1" x14ac:dyDescent="0.2">
      <c r="A55" s="1" t="s">
        <v>226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37" t="s">
        <v>6</v>
      </c>
      <c r="I55" s="26" t="s">
        <v>19</v>
      </c>
      <c r="J55" s="26"/>
      <c r="K55" s="28"/>
    </row>
    <row r="56" spans="1:11" hidden="1" outlineLevel="1" x14ac:dyDescent="0.2">
      <c r="A56" s="1" t="s">
        <v>227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37" t="s">
        <v>6</v>
      </c>
      <c r="I56" s="26" t="s">
        <v>19</v>
      </c>
      <c r="J56" s="26" t="s">
        <v>19</v>
      </c>
      <c r="K56" s="26" t="s">
        <v>19</v>
      </c>
    </row>
    <row r="57" spans="1:11" ht="13.5" collapsed="1" thickBot="1" x14ac:dyDescent="0.25">
      <c r="A57" s="31"/>
      <c r="B57" s="32">
        <f>SUM(B53:B56)</f>
        <v>0.51111111111111107</v>
      </c>
      <c r="C57" s="33">
        <f>SUM(C53:C56)</f>
        <v>84.1</v>
      </c>
      <c r="D57" s="34">
        <f>AVERAGE(D53:D56)</f>
        <v>6.6771752837326606</v>
      </c>
      <c r="E57" s="35">
        <f>MIN(E53:E56)</f>
        <v>1000</v>
      </c>
      <c r="F57" s="35">
        <f>MAX(F53:F56)</f>
        <v>2315</v>
      </c>
      <c r="G57" s="36">
        <f>MAX(G53:G56)</f>
        <v>1235</v>
      </c>
      <c r="H57" s="140">
        <f>SUM(G53:G56)</f>
        <v>2670</v>
      </c>
      <c r="I57" s="37"/>
      <c r="J57" s="31"/>
      <c r="K57" s="1"/>
    </row>
    <row r="58" spans="1:11" ht="13.5" thickTop="1" x14ac:dyDescent="0.2"/>
    <row r="59" spans="1:11" x14ac:dyDescent="0.2">
      <c r="A59" s="334" t="s">
        <v>312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</row>
    <row r="60" spans="1:11" x14ac:dyDescent="0.2">
      <c r="A60" s="39"/>
      <c r="B60" s="22" t="s">
        <v>0</v>
      </c>
      <c r="C60" s="192" t="s">
        <v>238</v>
      </c>
      <c r="D60" s="23" t="s">
        <v>237</v>
      </c>
      <c r="E60" s="21" t="s">
        <v>24</v>
      </c>
      <c r="F60" s="21" t="s">
        <v>1</v>
      </c>
      <c r="G60" s="21" t="s">
        <v>2</v>
      </c>
      <c r="H60" s="24" t="s">
        <v>3</v>
      </c>
      <c r="I60" s="25" t="s">
        <v>35</v>
      </c>
      <c r="J60" s="21" t="s">
        <v>36</v>
      </c>
      <c r="K60" s="21" t="s">
        <v>52</v>
      </c>
    </row>
    <row r="61" spans="1:11" hidden="1" outlineLevel="1" x14ac:dyDescent="0.2">
      <c r="A61" s="1" t="s">
        <v>118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37" t="s">
        <v>6</v>
      </c>
      <c r="I61" s="26" t="s">
        <v>19</v>
      </c>
      <c r="J61" s="26"/>
      <c r="K61" s="28"/>
    </row>
    <row r="62" spans="1:11" hidden="1" outlineLevel="1" x14ac:dyDescent="0.2">
      <c r="A62" s="1" t="s">
        <v>316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37" t="s">
        <v>6</v>
      </c>
      <c r="I62" s="26" t="s">
        <v>19</v>
      </c>
      <c r="J62" s="26"/>
    </row>
    <row r="63" spans="1:11" hidden="1" outlineLevel="1" x14ac:dyDescent="0.2">
      <c r="A63" s="1" t="s">
        <v>319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37" t="s">
        <v>6</v>
      </c>
      <c r="I63" s="26" t="s">
        <v>19</v>
      </c>
      <c r="J63" s="26" t="s">
        <v>19</v>
      </c>
      <c r="K63" s="28"/>
    </row>
    <row r="64" spans="1:11" hidden="1" outlineLevel="1" x14ac:dyDescent="0.2">
      <c r="A64" s="1" t="s">
        <v>226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37" t="s">
        <v>6</v>
      </c>
      <c r="I64" s="26" t="s">
        <v>19</v>
      </c>
      <c r="J64" s="26"/>
    </row>
    <row r="65" spans="1:11" hidden="1" outlineLevel="1" x14ac:dyDescent="0.2">
      <c r="A65" s="1" t="s">
        <v>317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37" t="s">
        <v>6</v>
      </c>
      <c r="I65" s="26" t="s">
        <v>19</v>
      </c>
      <c r="J65" s="26" t="s">
        <v>19</v>
      </c>
    </row>
    <row r="66" spans="1:11" hidden="1" outlineLevel="1" x14ac:dyDescent="0.2">
      <c r="A66" s="1" t="s">
        <v>318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37" t="s">
        <v>6</v>
      </c>
      <c r="I66" s="26" t="s">
        <v>19</v>
      </c>
      <c r="J66" s="26"/>
    </row>
    <row r="67" spans="1:11" hidden="1" outlineLevel="1" x14ac:dyDescent="0.2">
      <c r="A67" s="1" t="s">
        <v>117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37" t="s">
        <v>6</v>
      </c>
      <c r="I67" s="26" t="s">
        <v>19</v>
      </c>
      <c r="J67" s="26"/>
    </row>
    <row r="68" spans="1:11" hidden="1" outlineLevel="1" x14ac:dyDescent="0.2">
      <c r="A68" s="1" t="s">
        <v>320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37" t="s">
        <v>6</v>
      </c>
      <c r="I68" s="26" t="s">
        <v>19</v>
      </c>
      <c r="J68" s="26"/>
    </row>
    <row r="69" spans="1:11" ht="13.5" collapsed="1" thickBot="1" x14ac:dyDescent="0.25">
      <c r="A69" s="31"/>
      <c r="B69" s="32">
        <f>SUM(B61:B68)</f>
        <v>0.64583333333333326</v>
      </c>
      <c r="C69" s="33">
        <f>SUM(C61:C68)</f>
        <v>173.4</v>
      </c>
      <c r="D69" s="34">
        <f>AVERAGE(D61:D68)</f>
        <v>11.300291146761735</v>
      </c>
      <c r="E69" s="35">
        <f>MIN(E61:E68)</f>
        <v>1050</v>
      </c>
      <c r="F69" s="35">
        <f>MAX(F61:F68)</f>
        <v>2416</v>
      </c>
      <c r="G69" s="36">
        <f>MAX(G61:G68)</f>
        <v>940</v>
      </c>
      <c r="H69" s="140">
        <f>SUM(G61:G68)</f>
        <v>4703</v>
      </c>
      <c r="I69" s="37"/>
      <c r="J69" s="31"/>
      <c r="K69" s="1"/>
    </row>
    <row r="70" spans="1:11" ht="13.5" thickTop="1" x14ac:dyDescent="0.2"/>
    <row r="71" spans="1:11" x14ac:dyDescent="0.2">
      <c r="A71" s="334" t="s">
        <v>447</v>
      </c>
      <c r="B71" s="334"/>
      <c r="C71" s="334"/>
      <c r="D71" s="334"/>
      <c r="E71" s="334"/>
      <c r="F71" s="334"/>
      <c r="G71" s="334"/>
      <c r="H71" s="334"/>
      <c r="I71" s="334"/>
      <c r="J71" s="334"/>
      <c r="K71" s="334"/>
    </row>
    <row r="72" spans="1:11" x14ac:dyDescent="0.2">
      <c r="A72" s="39"/>
      <c r="B72" s="22" t="s">
        <v>0</v>
      </c>
      <c r="C72" s="192" t="s">
        <v>238</v>
      </c>
      <c r="D72" s="23" t="s">
        <v>237</v>
      </c>
      <c r="E72" s="21" t="s">
        <v>24</v>
      </c>
      <c r="F72" s="21" t="s">
        <v>1</v>
      </c>
      <c r="G72" s="21" t="s">
        <v>2</v>
      </c>
      <c r="H72" s="24" t="s">
        <v>3</v>
      </c>
      <c r="I72" s="25" t="s">
        <v>35</v>
      </c>
      <c r="J72" s="21" t="s">
        <v>36</v>
      </c>
      <c r="K72" s="21" t="s">
        <v>52</v>
      </c>
    </row>
    <row r="73" spans="1:11" hidden="1" outlineLevel="1" x14ac:dyDescent="0.2">
      <c r="A73" s="1" t="s">
        <v>448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0" t="s">
        <v>5</v>
      </c>
      <c r="I73" s="146" t="s">
        <v>19</v>
      </c>
      <c r="J73" s="26" t="s">
        <v>19</v>
      </c>
      <c r="K73" s="26" t="s">
        <v>451</v>
      </c>
    </row>
    <row r="74" spans="1:11" hidden="1" outlineLevel="1" x14ac:dyDescent="0.2">
      <c r="A74" s="1" t="s">
        <v>449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155" t="s">
        <v>5</v>
      </c>
      <c r="I74" s="146" t="s">
        <v>19</v>
      </c>
      <c r="J74" s="26" t="s">
        <v>19</v>
      </c>
      <c r="K74" s="26" t="s">
        <v>451</v>
      </c>
    </row>
    <row r="75" spans="1:11" hidden="1" outlineLevel="1" x14ac:dyDescent="0.2">
      <c r="A75" s="1" t="s">
        <v>450</v>
      </c>
      <c r="B75" s="120">
        <v>0.10478009259259259</v>
      </c>
      <c r="C75" s="145">
        <v>55.8</v>
      </c>
      <c r="D75" s="119">
        <v>22.2</v>
      </c>
      <c r="E75" s="116">
        <v>913</v>
      </c>
      <c r="F75" s="116">
        <v>1665</v>
      </c>
      <c r="G75" s="116">
        <v>1000</v>
      </c>
      <c r="H75" s="200" t="s">
        <v>5</v>
      </c>
      <c r="I75" s="146" t="s">
        <v>19</v>
      </c>
      <c r="J75" s="26" t="s">
        <v>19</v>
      </c>
      <c r="K75" s="26" t="s">
        <v>451</v>
      </c>
    </row>
    <row r="76" spans="1:11" ht="13.5" collapsed="1" thickBot="1" x14ac:dyDescent="0.25">
      <c r="B76" s="201">
        <f>SUM(B73:B75)</f>
        <v>0.34978009259259257</v>
      </c>
      <c r="C76" s="202">
        <f>SUM(C73:C75)</f>
        <v>154.74</v>
      </c>
      <c r="D76" s="203">
        <f>AVERAGE(D73:D75)</f>
        <v>18.733333333333334</v>
      </c>
      <c r="E76" s="204">
        <f>MIN(E73:E75)</f>
        <v>913</v>
      </c>
      <c r="F76" s="204">
        <f>MAX(F73:F75)</f>
        <v>2757</v>
      </c>
      <c r="G76" s="204">
        <f>MAX(G73:G75)</f>
        <v>1910</v>
      </c>
      <c r="H76" s="205">
        <f>SUM(G73:G75)</f>
        <v>3943</v>
      </c>
    </row>
    <row r="77" spans="1:11" ht="13.5" thickTop="1" x14ac:dyDescent="0.2"/>
    <row r="78" spans="1:11" x14ac:dyDescent="0.2">
      <c r="A78" s="334" t="s">
        <v>561</v>
      </c>
      <c r="B78" s="334"/>
      <c r="C78" s="334"/>
      <c r="D78" s="334"/>
      <c r="E78" s="334"/>
      <c r="F78" s="334"/>
      <c r="G78" s="334"/>
      <c r="H78" s="334"/>
      <c r="I78" s="334"/>
      <c r="J78" s="334"/>
      <c r="K78" s="334"/>
    </row>
    <row r="79" spans="1:11" x14ac:dyDescent="0.2">
      <c r="A79" s="39"/>
      <c r="B79" s="22" t="s">
        <v>0</v>
      </c>
      <c r="C79" s="192" t="s">
        <v>238</v>
      </c>
      <c r="D79" s="23" t="s">
        <v>237</v>
      </c>
      <c r="E79" s="21" t="s">
        <v>24</v>
      </c>
      <c r="F79" s="21" t="s">
        <v>1</v>
      </c>
      <c r="G79" s="21" t="s">
        <v>2</v>
      </c>
      <c r="H79" s="24" t="s">
        <v>3</v>
      </c>
      <c r="I79" s="25" t="s">
        <v>35</v>
      </c>
      <c r="J79" s="21" t="s">
        <v>36</v>
      </c>
      <c r="K79" s="21" t="s">
        <v>52</v>
      </c>
    </row>
    <row r="80" spans="1:11" hidden="1" outlineLevel="1" x14ac:dyDescent="0.2">
      <c r="A80" s="1" t="s">
        <v>562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0" t="s">
        <v>6</v>
      </c>
      <c r="I80" s="146" t="s">
        <v>19</v>
      </c>
      <c r="J80" s="26"/>
      <c r="K80" s="26"/>
    </row>
    <row r="81" spans="1:11" hidden="1" outlineLevel="1" x14ac:dyDescent="0.2">
      <c r="A81" s="1" t="s">
        <v>118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155" t="s">
        <v>6</v>
      </c>
      <c r="I81" s="146" t="s">
        <v>19</v>
      </c>
      <c r="J81" s="26" t="s">
        <v>19</v>
      </c>
      <c r="K81" s="26"/>
    </row>
    <row r="82" spans="1:11" hidden="1" outlineLevel="1" x14ac:dyDescent="0.2">
      <c r="A82" s="1" t="s">
        <v>563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155" t="s">
        <v>6</v>
      </c>
      <c r="I82" s="146" t="s">
        <v>19</v>
      </c>
      <c r="J82" s="26" t="s">
        <v>19</v>
      </c>
      <c r="K82" s="26"/>
    </row>
    <row r="83" spans="1:11" hidden="1" outlineLevel="1" x14ac:dyDescent="0.2">
      <c r="A83" s="1" t="s">
        <v>564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155" t="s">
        <v>6</v>
      </c>
      <c r="I83" s="146" t="s">
        <v>19</v>
      </c>
      <c r="J83" s="26"/>
      <c r="K83" s="26"/>
    </row>
    <row r="84" spans="1:11" hidden="1" outlineLevel="1" x14ac:dyDescent="0.2">
      <c r="A84" s="1" t="s">
        <v>318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155" t="s">
        <v>6</v>
      </c>
      <c r="I84" s="146" t="s">
        <v>19</v>
      </c>
      <c r="J84" s="26"/>
      <c r="K84" s="26"/>
    </row>
    <row r="85" spans="1:11" hidden="1" outlineLevel="1" x14ac:dyDescent="0.2">
      <c r="A85" s="1" t="s">
        <v>565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155" t="s">
        <v>6</v>
      </c>
      <c r="I85" s="146" t="s">
        <v>19</v>
      </c>
      <c r="J85" s="26"/>
      <c r="K85" s="26"/>
    </row>
    <row r="86" spans="1:11" hidden="1" outlineLevel="1" x14ac:dyDescent="0.2">
      <c r="A86" s="1" t="s">
        <v>567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155" t="s">
        <v>6</v>
      </c>
      <c r="I86" s="146" t="s">
        <v>19</v>
      </c>
      <c r="J86" s="26"/>
      <c r="K86" s="26"/>
    </row>
    <row r="87" spans="1:11" hidden="1" outlineLevel="1" x14ac:dyDescent="0.2">
      <c r="A87" s="1" t="s">
        <v>566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155" t="s">
        <v>6</v>
      </c>
      <c r="I87" s="146" t="s">
        <v>19</v>
      </c>
      <c r="J87" s="26" t="s">
        <v>19</v>
      </c>
      <c r="K87" s="26"/>
    </row>
    <row r="88" spans="1:11" hidden="1" outlineLevel="1" x14ac:dyDescent="0.2">
      <c r="A88" s="1" t="s">
        <v>317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155" t="s">
        <v>6</v>
      </c>
      <c r="I88" s="146" t="s">
        <v>19</v>
      </c>
      <c r="J88" s="26" t="s">
        <v>19</v>
      </c>
      <c r="K88" s="26" t="s">
        <v>19</v>
      </c>
    </row>
    <row r="89" spans="1:11" hidden="1" outlineLevel="1" x14ac:dyDescent="0.2">
      <c r="A89" s="1" t="s">
        <v>225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155" t="s">
        <v>6</v>
      </c>
      <c r="I89" s="146" t="s">
        <v>19</v>
      </c>
      <c r="J89" s="26" t="s">
        <v>19</v>
      </c>
      <c r="K89" s="26" t="s">
        <v>19</v>
      </c>
    </row>
    <row r="90" spans="1:11" hidden="1" outlineLevel="1" x14ac:dyDescent="0.2">
      <c r="A90" s="1" t="s">
        <v>568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155" t="s">
        <v>6</v>
      </c>
      <c r="I90" s="146" t="s">
        <v>19</v>
      </c>
      <c r="J90" s="26" t="s">
        <v>19</v>
      </c>
      <c r="K90" s="26"/>
    </row>
    <row r="91" spans="1:11" hidden="1" outlineLevel="1" x14ac:dyDescent="0.2">
      <c r="A91" s="1" t="s">
        <v>569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155" t="s">
        <v>6</v>
      </c>
      <c r="I91" s="146" t="s">
        <v>19</v>
      </c>
      <c r="J91" s="26" t="s">
        <v>19</v>
      </c>
      <c r="K91" s="26" t="s">
        <v>19</v>
      </c>
    </row>
    <row r="92" spans="1:11" hidden="1" outlineLevel="1" x14ac:dyDescent="0.2">
      <c r="A92" s="1" t="s">
        <v>227</v>
      </c>
      <c r="B92" s="120">
        <v>4.2187499999999996E-2</v>
      </c>
      <c r="C92" s="145">
        <v>5</v>
      </c>
      <c r="D92" s="12">
        <f>C92*stat!$E$22/B92</f>
        <v>4.9382716049382713</v>
      </c>
      <c r="E92" s="116">
        <v>1870</v>
      </c>
      <c r="F92" s="116">
        <v>2103</v>
      </c>
      <c r="G92" s="116">
        <v>270</v>
      </c>
      <c r="H92" s="200" t="s">
        <v>6</v>
      </c>
      <c r="I92" s="146" t="s">
        <v>19</v>
      </c>
      <c r="J92" s="26" t="s">
        <v>19</v>
      </c>
      <c r="K92" s="26" t="s">
        <v>19</v>
      </c>
    </row>
    <row r="93" spans="1:11" ht="13.5" collapsed="1" thickBot="1" x14ac:dyDescent="0.25">
      <c r="B93" s="201">
        <f>SUM(B80:B92)</f>
        <v>1.4708912037037036</v>
      </c>
      <c r="C93" s="202">
        <f>SUM(C80:C92)</f>
        <v>251.5</v>
      </c>
      <c r="D93" s="203">
        <f>AVERAGE(D80:D92)</f>
        <v>7.0350879968653199</v>
      </c>
      <c r="E93" s="204">
        <f>MIN(E80:E92)</f>
        <v>690</v>
      </c>
      <c r="F93" s="204">
        <f>MAX(F80:F92)</f>
        <v>2350</v>
      </c>
      <c r="G93" s="204">
        <f>MAX(G80:G92)</f>
        <v>1020</v>
      </c>
      <c r="H93" s="205">
        <f>SUM(G80:G92)</f>
        <v>7880</v>
      </c>
    </row>
    <row r="94" spans="1:11" ht="13.5" thickTop="1" x14ac:dyDescent="0.2"/>
    <row r="95" spans="1:11" x14ac:dyDescent="0.2">
      <c r="A95" s="334" t="s">
        <v>745</v>
      </c>
      <c r="B95" s="334"/>
      <c r="C95" s="334"/>
      <c r="D95" s="334"/>
      <c r="E95" s="334"/>
      <c r="F95" s="334"/>
      <c r="G95" s="334"/>
      <c r="H95" s="334"/>
      <c r="I95" s="334"/>
      <c r="J95" s="334"/>
      <c r="K95" s="334"/>
    </row>
    <row r="96" spans="1:11" x14ac:dyDescent="0.2">
      <c r="A96" s="39"/>
      <c r="B96" s="22" t="s">
        <v>0</v>
      </c>
      <c r="C96" s="192" t="s">
        <v>238</v>
      </c>
      <c r="D96" s="23" t="s">
        <v>237</v>
      </c>
      <c r="E96" s="21" t="s">
        <v>24</v>
      </c>
      <c r="F96" s="21" t="s">
        <v>1</v>
      </c>
      <c r="G96" s="21" t="s">
        <v>2</v>
      </c>
      <c r="H96" s="24" t="s">
        <v>3</v>
      </c>
      <c r="I96" s="25" t="s">
        <v>35</v>
      </c>
      <c r="J96" s="21" t="s">
        <v>36</v>
      </c>
      <c r="K96" s="21" t="s">
        <v>52</v>
      </c>
    </row>
    <row r="97" spans="1:11" hidden="1" outlineLevel="1" x14ac:dyDescent="0.2">
      <c r="A97" s="1" t="s">
        <v>562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0" t="s">
        <v>6</v>
      </c>
      <c r="I97" s="146" t="s">
        <v>19</v>
      </c>
      <c r="J97" s="26"/>
      <c r="K97" s="26"/>
    </row>
    <row r="98" spans="1:11" hidden="1" outlineLevel="1" x14ac:dyDescent="0.2">
      <c r="A98" s="1" t="s">
        <v>746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155" t="s">
        <v>6</v>
      </c>
      <c r="I98" s="146" t="s">
        <v>19</v>
      </c>
      <c r="J98" s="26" t="s">
        <v>19</v>
      </c>
      <c r="K98" s="26"/>
    </row>
    <row r="99" spans="1:11" hidden="1" outlineLevel="1" x14ac:dyDescent="0.2">
      <c r="A99" s="1" t="s">
        <v>747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155" t="s">
        <v>6</v>
      </c>
      <c r="I99" s="146" t="s">
        <v>19</v>
      </c>
      <c r="J99" s="26"/>
      <c r="K99" s="26"/>
    </row>
    <row r="100" spans="1:11" hidden="1" outlineLevel="1" x14ac:dyDescent="0.2">
      <c r="A100" s="1" t="s">
        <v>748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155" t="s">
        <v>6</v>
      </c>
      <c r="I100" s="146"/>
      <c r="J100" s="26"/>
      <c r="K100" s="26"/>
    </row>
    <row r="101" spans="1:11" hidden="1" outlineLevel="1" x14ac:dyDescent="0.2">
      <c r="A101" s="1" t="s">
        <v>568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155" t="s">
        <v>6</v>
      </c>
      <c r="I101" s="146" t="s">
        <v>19</v>
      </c>
      <c r="J101" s="26" t="s">
        <v>19</v>
      </c>
      <c r="K101" s="26"/>
    </row>
    <row r="102" spans="1:11" hidden="1" outlineLevel="1" x14ac:dyDescent="0.2">
      <c r="A102" s="1" t="s">
        <v>567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155" t="s">
        <v>6</v>
      </c>
      <c r="I102" s="146" t="s">
        <v>19</v>
      </c>
      <c r="J102" s="26"/>
      <c r="K102" s="26"/>
    </row>
    <row r="103" spans="1:11" ht="13.5" collapsed="1" thickBot="1" x14ac:dyDescent="0.25">
      <c r="B103" s="201">
        <f>SUM(B97:B102)</f>
        <v>0.58799768518518525</v>
      </c>
      <c r="C103" s="202">
        <f>SUM(C97:C102)</f>
        <v>99.1</v>
      </c>
      <c r="D103" s="203">
        <f>AVERAGE(D97:D102)</f>
        <v>7.6233644588293688</v>
      </c>
      <c r="E103" s="204">
        <f>MIN(E97:E102)</f>
        <v>4</v>
      </c>
      <c r="F103" s="204">
        <f>MAX(F97:F102)</f>
        <v>2360</v>
      </c>
      <c r="G103" s="204">
        <f>MAX(G97:G102)</f>
        <v>680</v>
      </c>
      <c r="H103" s="205">
        <f>SUM(G97:G102)</f>
        <v>3050</v>
      </c>
    </row>
    <row r="104" spans="1:11" ht="13.5" thickTop="1" x14ac:dyDescent="0.2"/>
    <row r="105" spans="1:11" x14ac:dyDescent="0.2">
      <c r="A105" s="334" t="s">
        <v>845</v>
      </c>
      <c r="B105" s="334"/>
      <c r="C105" s="334"/>
      <c r="D105" s="334"/>
      <c r="E105" s="334"/>
      <c r="F105" s="334"/>
      <c r="G105" s="334"/>
      <c r="H105" s="334"/>
      <c r="I105" s="334"/>
      <c r="J105" s="334"/>
      <c r="K105" s="334"/>
    </row>
    <row r="106" spans="1:11" x14ac:dyDescent="0.2">
      <c r="A106" s="39"/>
      <c r="B106" s="22" t="s">
        <v>0</v>
      </c>
      <c r="C106" s="192" t="s">
        <v>238</v>
      </c>
      <c r="D106" s="23" t="s">
        <v>237</v>
      </c>
      <c r="E106" s="21" t="s">
        <v>24</v>
      </c>
      <c r="F106" s="21" t="s">
        <v>1</v>
      </c>
      <c r="G106" s="21" t="s">
        <v>2</v>
      </c>
      <c r="H106" s="24" t="s">
        <v>3</v>
      </c>
      <c r="I106" s="25" t="s">
        <v>35</v>
      </c>
      <c r="J106" s="21" t="s">
        <v>36</v>
      </c>
      <c r="K106" s="21" t="s">
        <v>52</v>
      </c>
    </row>
    <row r="107" spans="1:11" hidden="1" outlineLevel="1" x14ac:dyDescent="0.2">
      <c r="A107" s="1" t="s">
        <v>848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0" t="s">
        <v>393</v>
      </c>
      <c r="I107" s="146"/>
      <c r="J107" s="26"/>
      <c r="K107" s="26"/>
    </row>
    <row r="108" spans="1:11" hidden="1" outlineLevel="1" x14ac:dyDescent="0.2">
      <c r="A108" s="1" t="s">
        <v>846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155" t="s">
        <v>393</v>
      </c>
      <c r="I108" s="146"/>
      <c r="J108" s="26"/>
      <c r="K108" s="26"/>
    </row>
    <row r="109" spans="1:11" hidden="1" outlineLevel="1" x14ac:dyDescent="0.2">
      <c r="A109" s="1" t="s">
        <v>900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155" t="s">
        <v>393</v>
      </c>
      <c r="I109" s="146"/>
      <c r="J109" s="26"/>
      <c r="K109" s="26"/>
    </row>
    <row r="110" spans="1:11" hidden="1" outlineLevel="1" x14ac:dyDescent="0.2">
      <c r="A110" s="1" t="s">
        <v>847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155" t="s">
        <v>393</v>
      </c>
      <c r="I110" s="146"/>
      <c r="J110" s="26"/>
      <c r="K110" s="26"/>
    </row>
    <row r="111" spans="1:11" hidden="1" outlineLevel="1" x14ac:dyDescent="0.2">
      <c r="A111" s="1" t="s">
        <v>849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155" t="s">
        <v>393</v>
      </c>
      <c r="I111" s="146"/>
      <c r="J111" s="26"/>
      <c r="K111" s="26"/>
    </row>
    <row r="112" spans="1:11" hidden="1" outlineLevel="1" x14ac:dyDescent="0.2">
      <c r="A112" s="1" t="s">
        <v>850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155" t="s">
        <v>393</v>
      </c>
      <c r="I112" s="146"/>
      <c r="J112" s="26"/>
      <c r="K112" s="26"/>
    </row>
    <row r="113" spans="1:11" hidden="1" outlineLevel="1" x14ac:dyDescent="0.2">
      <c r="A113" s="1" t="s">
        <v>851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155" t="s">
        <v>393</v>
      </c>
      <c r="I113" s="146"/>
      <c r="J113" s="26"/>
      <c r="K113" s="26"/>
    </row>
    <row r="114" spans="1:11" hidden="1" outlineLevel="1" x14ac:dyDescent="0.2">
      <c r="A114" s="1" t="s">
        <v>852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155" t="s">
        <v>393</v>
      </c>
      <c r="I114" s="146"/>
      <c r="J114" s="26"/>
      <c r="K114" s="26"/>
    </row>
    <row r="115" spans="1:11" hidden="1" outlineLevel="1" x14ac:dyDescent="0.2">
      <c r="A115" s="1" t="s">
        <v>853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155" t="s">
        <v>393</v>
      </c>
      <c r="I115" s="146"/>
      <c r="J115" s="26"/>
      <c r="K115" s="26"/>
    </row>
    <row r="116" spans="1:11" ht="13.5" collapsed="1" thickBot="1" x14ac:dyDescent="0.25">
      <c r="B116" s="201">
        <f>SUM(B107:B115)</f>
        <v>0.90277777777777779</v>
      </c>
      <c r="C116" s="202">
        <f>SUM(C107:C115)</f>
        <v>320.3</v>
      </c>
      <c r="D116" s="203">
        <f>AVERAGE(D107:D115)</f>
        <v>14.798677248677247</v>
      </c>
      <c r="E116" s="204">
        <f>MIN(E107:E115)</f>
        <v>740</v>
      </c>
      <c r="F116" s="204">
        <f>MAX(F107:F115)</f>
        <v>2830</v>
      </c>
      <c r="G116" s="204">
        <f>MAX(G107:G115)</f>
        <v>1530</v>
      </c>
      <c r="H116" s="205">
        <f>SUM(G107:G115)</f>
        <v>7802</v>
      </c>
    </row>
    <row r="117" spans="1:11" ht="13.5" thickTop="1" x14ac:dyDescent="0.2"/>
    <row r="118" spans="1:11" x14ac:dyDescent="0.2">
      <c r="A118" s="334" t="s">
        <v>901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</row>
    <row r="119" spans="1:11" x14ac:dyDescent="0.2">
      <c r="A119" s="39"/>
      <c r="B119" s="22" t="s">
        <v>0</v>
      </c>
      <c r="C119" s="192" t="s">
        <v>238</v>
      </c>
      <c r="D119" s="23" t="s">
        <v>237</v>
      </c>
      <c r="E119" s="21" t="s">
        <v>24</v>
      </c>
      <c r="F119" s="21" t="s">
        <v>1</v>
      </c>
      <c r="G119" s="21" t="s">
        <v>2</v>
      </c>
      <c r="H119" s="24" t="s">
        <v>3</v>
      </c>
      <c r="I119" s="25" t="s">
        <v>35</v>
      </c>
      <c r="J119" s="21" t="s">
        <v>36</v>
      </c>
      <c r="K119" s="21" t="s">
        <v>52</v>
      </c>
    </row>
    <row r="120" spans="1:11" hidden="1" outlineLevel="1" x14ac:dyDescent="0.2">
      <c r="A120" s="1" t="s">
        <v>902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0" t="s">
        <v>393</v>
      </c>
      <c r="I120" s="146"/>
      <c r="J120" s="26"/>
      <c r="K120" s="26"/>
    </row>
    <row r="121" spans="1:11" hidden="1" outlineLevel="1" x14ac:dyDescent="0.2">
      <c r="A121" s="1" t="s">
        <v>903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155" t="s">
        <v>393</v>
      </c>
      <c r="I121" s="146"/>
      <c r="J121" s="26"/>
      <c r="K121" s="26"/>
    </row>
    <row r="122" spans="1:11" hidden="1" outlineLevel="1" x14ac:dyDescent="0.2">
      <c r="A122" s="1" t="s">
        <v>902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155" t="s">
        <v>393</v>
      </c>
      <c r="I122" s="146"/>
      <c r="J122" s="26"/>
      <c r="K122" s="26"/>
    </row>
    <row r="123" spans="1:11" hidden="1" outlineLevel="1" x14ac:dyDescent="0.2">
      <c r="A123" s="1" t="s">
        <v>904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155" t="s">
        <v>393</v>
      </c>
      <c r="I123" s="146"/>
      <c r="J123" s="26"/>
      <c r="K123" s="26"/>
    </row>
    <row r="124" spans="1:11" hidden="1" outlineLevel="1" x14ac:dyDescent="0.2">
      <c r="A124" s="1" t="s">
        <v>905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155" t="s">
        <v>393</v>
      </c>
      <c r="I124" s="146"/>
      <c r="J124" s="26"/>
      <c r="K124" s="26"/>
    </row>
    <row r="125" spans="1:11" hidden="1" outlineLevel="1" x14ac:dyDescent="0.2">
      <c r="A125" s="1" t="s">
        <v>906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155" t="s">
        <v>393</v>
      </c>
      <c r="I125" s="146"/>
      <c r="J125" s="26"/>
      <c r="K125" s="26"/>
    </row>
    <row r="126" spans="1:11" hidden="1" outlineLevel="1" x14ac:dyDescent="0.2">
      <c r="A126" s="1" t="s">
        <v>907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155" t="s">
        <v>393</v>
      </c>
      <c r="I126" s="146"/>
      <c r="J126" s="26"/>
      <c r="K126" s="26"/>
    </row>
    <row r="127" spans="1:11" hidden="1" outlineLevel="1" x14ac:dyDescent="0.2">
      <c r="A127" s="1" t="s">
        <v>908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155" t="s">
        <v>393</v>
      </c>
      <c r="I127" s="146"/>
      <c r="J127" s="26"/>
      <c r="K127" s="26"/>
    </row>
    <row r="128" spans="1:11" ht="13.5" collapsed="1" thickBot="1" x14ac:dyDescent="0.25">
      <c r="B128" s="201">
        <f>SUM(B120:B127)</f>
        <v>0.64097222222222217</v>
      </c>
      <c r="C128" s="202">
        <f>SUM(C120:C127)</f>
        <v>266.8</v>
      </c>
      <c r="D128" s="203">
        <f>AVERAGE(D120:D127)</f>
        <v>17.691441419153577</v>
      </c>
      <c r="E128" s="204">
        <f>MIN(E120:E127)</f>
        <v>540</v>
      </c>
      <c r="F128" s="204">
        <f>MAX(F120:F127)</f>
        <v>2035</v>
      </c>
      <c r="G128" s="204">
        <f>MAX(G120:G127)</f>
        <v>1500</v>
      </c>
      <c r="H128" s="205">
        <f>SUM(G120:G127)</f>
        <v>5245</v>
      </c>
    </row>
    <row r="129" spans="1:11" ht="13.5" thickTop="1" x14ac:dyDescent="0.2"/>
    <row r="130" spans="1:11" x14ac:dyDescent="0.2">
      <c r="A130" s="334" t="s">
        <v>919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</row>
    <row r="131" spans="1:11" x14ac:dyDescent="0.2">
      <c r="A131" s="39"/>
      <c r="B131" s="22" t="s">
        <v>0</v>
      </c>
      <c r="C131" s="192" t="s">
        <v>238</v>
      </c>
      <c r="D131" s="23" t="s">
        <v>237</v>
      </c>
      <c r="E131" s="21" t="s">
        <v>24</v>
      </c>
      <c r="F131" s="21" t="s">
        <v>1</v>
      </c>
      <c r="G131" s="21" t="s">
        <v>2</v>
      </c>
      <c r="H131" s="24" t="s">
        <v>3</v>
      </c>
      <c r="I131" s="25" t="s">
        <v>35</v>
      </c>
      <c r="J131" s="21" t="s">
        <v>36</v>
      </c>
      <c r="K131" s="21" t="s">
        <v>52</v>
      </c>
    </row>
    <row r="132" spans="1:11" hidden="1" outlineLevel="1" x14ac:dyDescent="0.2">
      <c r="A132" s="1" t="s">
        <v>920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0" t="s">
        <v>393</v>
      </c>
      <c r="I132" s="146"/>
      <c r="J132" s="26"/>
      <c r="K132" s="26"/>
    </row>
    <row r="133" spans="1:11" hidden="1" outlineLevel="1" x14ac:dyDescent="0.2">
      <c r="A133" s="1" t="s">
        <v>921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155" t="s">
        <v>393</v>
      </c>
      <c r="I133" s="146"/>
      <c r="J133" s="26"/>
      <c r="K133" s="26"/>
    </row>
    <row r="134" spans="1:11" hidden="1" outlineLevel="1" x14ac:dyDescent="0.2">
      <c r="A134" s="1" t="s">
        <v>922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155" t="s">
        <v>393</v>
      </c>
      <c r="I134" s="146"/>
      <c r="J134" s="26"/>
      <c r="K134" s="26"/>
    </row>
    <row r="135" spans="1:11" hidden="1" outlineLevel="1" x14ac:dyDescent="0.2">
      <c r="A135" s="1" t="s">
        <v>923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155" t="s">
        <v>393</v>
      </c>
      <c r="I135" s="146"/>
      <c r="J135" s="26"/>
      <c r="K135" s="26"/>
    </row>
    <row r="136" spans="1:11" hidden="1" outlineLevel="1" x14ac:dyDescent="0.2">
      <c r="A136" s="1" t="s">
        <v>924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155" t="s">
        <v>393</v>
      </c>
      <c r="I136" s="146"/>
      <c r="J136" s="26"/>
      <c r="K136" s="26"/>
    </row>
    <row r="137" spans="1:11" ht="13.5" collapsed="1" thickBot="1" x14ac:dyDescent="0.25">
      <c r="B137" s="201">
        <f>SUM(B132:B136)</f>
        <v>0.45833333333333337</v>
      </c>
      <c r="C137" s="202">
        <f>SUM(C132:C136)</f>
        <v>171.1</v>
      </c>
      <c r="D137" s="203">
        <f>AVERAGE(D132:D136)</f>
        <v>14.811333333333334</v>
      </c>
      <c r="E137" s="204">
        <f>MIN(E132:E136)</f>
        <v>666</v>
      </c>
      <c r="F137" s="204">
        <f>MAX(F132:F136)</f>
        <v>1830</v>
      </c>
      <c r="G137" s="204">
        <f>MAX(G132:G136)</f>
        <v>1440</v>
      </c>
      <c r="H137" s="205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I65:I70 I32 I22 I34:I35 I37 I40:I43 I46:I53 I56:I63 I11 I13 I19:I20 I30 I73:I77 I94 I97:I104 I117 I120:I129 I132:I65547">
    <cfRule type="cellIs" dxfId="1099" priority="277" stopIfTrue="1" operator="between">
      <formula>0</formula>
      <formula>0.0999</formula>
    </cfRule>
    <cfRule type="cellIs" dxfId="1098" priority="278" stopIfTrue="1" operator="between">
      <formula>0.1</formula>
      <formula>0.1499</formula>
    </cfRule>
    <cfRule type="cellIs" dxfId="1097" priority="279" stopIfTrue="1" operator="between">
      <formula>0.15</formula>
      <formula>1</formula>
    </cfRule>
  </conditionalFormatting>
  <conditionalFormatting sqref="B32:B35 B37:B70 B3:B11 B13:B20 B22:B30 B73:B77 B94 B97:B104 B117 B120:B129 B132:B65547">
    <cfRule type="cellIs" dxfId="1096" priority="280" stopIfTrue="1" operator="between">
      <formula>0</formula>
      <formula>0.0416550925925926</formula>
    </cfRule>
    <cfRule type="cellIs" dxfId="1095" priority="281" stopIfTrue="1" operator="between">
      <formula>0.0416666666666667</formula>
      <formula>0.0833217592592593</formula>
    </cfRule>
    <cfRule type="cellIs" dxfId="1094" priority="282" stopIfTrue="1" operator="between">
      <formula>0.0833333333333333</formula>
      <formula>4.16665509259259</formula>
    </cfRule>
  </conditionalFormatting>
  <conditionalFormatting sqref="C32:C35 C37:C70 C3:C11 C13:C20 C22:C30 C73:C77 C94 C97:C104 C117 C120:C129 C132:C65547">
    <cfRule type="cellIs" dxfId="1093" priority="283" stopIfTrue="1" operator="between">
      <formula>0</formula>
      <formula>19.99</formula>
    </cfRule>
    <cfRule type="cellIs" dxfId="1092" priority="284" stopIfTrue="1" operator="between">
      <formula>20</formula>
      <formula>49.99</formula>
    </cfRule>
    <cfRule type="cellIs" dxfId="1091" priority="285" stopIfTrue="1" operator="between">
      <formula>50</formula>
      <formula>9999</formula>
    </cfRule>
  </conditionalFormatting>
  <conditionalFormatting sqref="D32:D35 D37:D52 D3:D11 D13:D20 D22:D30 D73:D77 D94 D69:D70 D57:D60 D97:D104 D117 D120:D129 D132:D65547">
    <cfRule type="cellIs" dxfId="1090" priority="286" stopIfTrue="1" operator="between">
      <formula>0</formula>
      <formula>19.99</formula>
    </cfRule>
    <cfRule type="cellIs" dxfId="1089" priority="287" stopIfTrue="1" operator="between">
      <formula>10</formula>
      <formula>24.99</formula>
    </cfRule>
    <cfRule type="cellIs" dxfId="1088" priority="288" stopIfTrue="1" operator="between">
      <formula>25</formula>
      <formula>99.99</formula>
    </cfRule>
  </conditionalFormatting>
  <conditionalFormatting sqref="E32:G35 E37:G70 E3:G11 E13:G20 E22:G30 E73:G77 E94:G94 E97:G104 E117:G117 E120:G129 E132:G65547">
    <cfRule type="cellIs" dxfId="1087" priority="289" stopIfTrue="1" operator="between">
      <formula>0</formula>
      <formula>499.99</formula>
    </cfRule>
    <cfRule type="cellIs" dxfId="1086" priority="290" stopIfTrue="1" operator="between">
      <formula>500</formula>
      <formula>999.99</formula>
    </cfRule>
    <cfRule type="cellIs" dxfId="1085" priority="291" stopIfTrue="1" operator="between">
      <formula>1000</formula>
      <formula>9999.99</formula>
    </cfRule>
  </conditionalFormatting>
  <conditionalFormatting sqref="F2:F70 F73:F77 F94 F97:F104 F117 F120:F129 F132:F1048576">
    <cfRule type="cellIs" dxfId="1084" priority="400" operator="equal">
      <formula>$N$3</formula>
    </cfRule>
  </conditionalFormatting>
  <conditionalFormatting sqref="G2:G70 G73:G77 G94 G97:G104 G117 G120:G129 G132:G1048576">
    <cfRule type="cellIs" dxfId="1083" priority="401" operator="equal">
      <formula>$N$2</formula>
    </cfRule>
  </conditionalFormatting>
  <conditionalFormatting sqref="I71:I72">
    <cfRule type="cellIs" dxfId="1082" priority="234" stopIfTrue="1" operator="between">
      <formula>0</formula>
      <formula>0.0999</formula>
    </cfRule>
    <cfRule type="cellIs" dxfId="1081" priority="235" stopIfTrue="1" operator="between">
      <formula>0.1</formula>
      <formula>0.1499</formula>
    </cfRule>
    <cfRule type="cellIs" dxfId="1080" priority="236" stopIfTrue="1" operator="between">
      <formula>0.15</formula>
      <formula>1</formula>
    </cfRule>
  </conditionalFormatting>
  <conditionalFormatting sqref="B71:B72">
    <cfRule type="cellIs" dxfId="1079" priority="237" stopIfTrue="1" operator="between">
      <formula>0</formula>
      <formula>0.0416550925925926</formula>
    </cfRule>
    <cfRule type="cellIs" dxfId="1078" priority="238" stopIfTrue="1" operator="between">
      <formula>0.0416666666666667</formula>
      <formula>0.0833217592592593</formula>
    </cfRule>
    <cfRule type="cellIs" dxfId="1077" priority="239" stopIfTrue="1" operator="between">
      <formula>0.0833333333333333</formula>
      <formula>4.16665509259259</formula>
    </cfRule>
  </conditionalFormatting>
  <conditionalFormatting sqref="C71:C72">
    <cfRule type="cellIs" dxfId="1076" priority="240" stopIfTrue="1" operator="between">
      <formula>0</formula>
      <formula>19.99</formula>
    </cfRule>
    <cfRule type="cellIs" dxfId="1075" priority="241" stopIfTrue="1" operator="between">
      <formula>20</formula>
      <formula>49.99</formula>
    </cfRule>
    <cfRule type="cellIs" dxfId="1074" priority="242" stopIfTrue="1" operator="between">
      <formula>50</formula>
      <formula>9999</formula>
    </cfRule>
  </conditionalFormatting>
  <conditionalFormatting sqref="D71:D72">
    <cfRule type="cellIs" dxfId="1073" priority="243" stopIfTrue="1" operator="between">
      <formula>0</formula>
      <formula>19.99</formula>
    </cfRule>
    <cfRule type="cellIs" dxfId="1072" priority="244" stopIfTrue="1" operator="between">
      <formula>10</formula>
      <formula>24.99</formula>
    </cfRule>
    <cfRule type="cellIs" dxfId="1071" priority="245" stopIfTrue="1" operator="between">
      <formula>25</formula>
      <formula>99.99</formula>
    </cfRule>
  </conditionalFormatting>
  <conditionalFormatting sqref="E71:G72">
    <cfRule type="cellIs" dxfId="1070" priority="246" stopIfTrue="1" operator="between">
      <formula>0</formula>
      <formula>499.99</formula>
    </cfRule>
    <cfRule type="cellIs" dxfId="1069" priority="247" stopIfTrue="1" operator="between">
      <formula>500</formula>
      <formula>999.99</formula>
    </cfRule>
    <cfRule type="cellIs" dxfId="1068" priority="248" stopIfTrue="1" operator="between">
      <formula>1000</formula>
      <formula>9999.99</formula>
    </cfRule>
  </conditionalFormatting>
  <conditionalFormatting sqref="F71:F72">
    <cfRule type="cellIs" dxfId="1067" priority="249" operator="equal">
      <formula>$N$3</formula>
    </cfRule>
  </conditionalFormatting>
  <conditionalFormatting sqref="G71:G72">
    <cfRule type="cellIs" dxfId="1066" priority="250" operator="equal">
      <formula>$N$2</formula>
    </cfRule>
  </conditionalFormatting>
  <conditionalFormatting sqref="H1:H77 H94:H104 H117:H1048576">
    <cfRule type="cellIs" dxfId="1065" priority="251" operator="equal">
      <formula>"FB"</formula>
    </cfRule>
    <cfRule type="cellIs" dxfId="1064" priority="252" operator="equal">
      <formula>"RR"</formula>
    </cfRule>
    <cfRule type="cellIs" dxfId="1063" priority="253" operator="equal">
      <formula>"MTB"</formula>
    </cfRule>
  </conditionalFormatting>
  <conditionalFormatting sqref="I80:I93">
    <cfRule type="cellIs" dxfId="1062" priority="217" stopIfTrue="1" operator="between">
      <formula>0</formula>
      <formula>0.0999</formula>
    </cfRule>
    <cfRule type="cellIs" dxfId="1061" priority="218" stopIfTrue="1" operator="between">
      <formula>0.1</formula>
      <formula>0.1499</formula>
    </cfRule>
    <cfRule type="cellIs" dxfId="1060" priority="219" stopIfTrue="1" operator="between">
      <formula>0.15</formula>
      <formula>1</formula>
    </cfRule>
  </conditionalFormatting>
  <conditionalFormatting sqref="B80:B93">
    <cfRule type="cellIs" dxfId="1059" priority="220" stopIfTrue="1" operator="between">
      <formula>0</formula>
      <formula>0.0416550925925926</formula>
    </cfRule>
    <cfRule type="cellIs" dxfId="1058" priority="221" stopIfTrue="1" operator="between">
      <formula>0.0416666666666667</formula>
      <formula>0.0833217592592593</formula>
    </cfRule>
    <cfRule type="cellIs" dxfId="1057" priority="222" stopIfTrue="1" operator="between">
      <formula>0.0833333333333333</formula>
      <formula>4.16665509259259</formula>
    </cfRule>
  </conditionalFormatting>
  <conditionalFormatting sqref="C80:C93">
    <cfRule type="cellIs" dxfId="1056" priority="223" stopIfTrue="1" operator="between">
      <formula>0</formula>
      <formula>19.99</formula>
    </cfRule>
    <cfRule type="cellIs" dxfId="1055" priority="224" stopIfTrue="1" operator="between">
      <formula>20</formula>
      <formula>49.99</formula>
    </cfRule>
    <cfRule type="cellIs" dxfId="1054" priority="225" stopIfTrue="1" operator="between">
      <formula>50</formula>
      <formula>9999</formula>
    </cfRule>
  </conditionalFormatting>
  <conditionalFormatting sqref="D80:D93 D61:D68 D53:D56">
    <cfRule type="cellIs" dxfId="1053" priority="226" stopIfTrue="1" operator="between">
      <formula>0</formula>
      <formula>19.99</formula>
    </cfRule>
    <cfRule type="cellIs" dxfId="1052" priority="227" stopIfTrue="1" operator="between">
      <formula>10</formula>
      <formula>24.99</formula>
    </cfRule>
    <cfRule type="cellIs" dxfId="1051" priority="228" stopIfTrue="1" operator="between">
      <formula>25</formula>
      <formula>99.99</formula>
    </cfRule>
  </conditionalFormatting>
  <conditionalFormatting sqref="E80:G93">
    <cfRule type="cellIs" dxfId="1050" priority="229" stopIfTrue="1" operator="between">
      <formula>0</formula>
      <formula>499.99</formula>
    </cfRule>
    <cfRule type="cellIs" dxfId="1049" priority="230" stopIfTrue="1" operator="between">
      <formula>500</formula>
      <formula>999.99</formula>
    </cfRule>
    <cfRule type="cellIs" dxfId="1048" priority="231" stopIfTrue="1" operator="between">
      <formula>1000</formula>
      <formula>9999.99</formula>
    </cfRule>
  </conditionalFormatting>
  <conditionalFormatting sqref="F80:F93">
    <cfRule type="cellIs" dxfId="1047" priority="232" operator="equal">
      <formula>$N$3</formula>
    </cfRule>
  </conditionalFormatting>
  <conditionalFormatting sqref="G80:G93">
    <cfRule type="cellIs" dxfId="1046" priority="233" operator="equal">
      <formula>$N$2</formula>
    </cfRule>
  </conditionalFormatting>
  <conditionalFormatting sqref="I78:I79">
    <cfRule type="cellIs" dxfId="1045" priority="197" stopIfTrue="1" operator="between">
      <formula>0</formula>
      <formula>0.0999</formula>
    </cfRule>
    <cfRule type="cellIs" dxfId="1044" priority="198" stopIfTrue="1" operator="between">
      <formula>0.1</formula>
      <formula>0.1499</formula>
    </cfRule>
    <cfRule type="cellIs" dxfId="1043" priority="199" stopIfTrue="1" operator="between">
      <formula>0.15</formula>
      <formula>1</formula>
    </cfRule>
  </conditionalFormatting>
  <conditionalFormatting sqref="B78:B79">
    <cfRule type="cellIs" dxfId="1042" priority="200" stopIfTrue="1" operator="between">
      <formula>0</formula>
      <formula>0.0416550925925926</formula>
    </cfRule>
    <cfRule type="cellIs" dxfId="1041" priority="201" stopIfTrue="1" operator="between">
      <formula>0.0416666666666667</formula>
      <formula>0.0833217592592593</formula>
    </cfRule>
    <cfRule type="cellIs" dxfId="1040" priority="202" stopIfTrue="1" operator="between">
      <formula>0.0833333333333333</formula>
      <formula>4.16665509259259</formula>
    </cfRule>
  </conditionalFormatting>
  <conditionalFormatting sqref="C78:C79">
    <cfRule type="cellIs" dxfId="1039" priority="203" stopIfTrue="1" operator="between">
      <formula>0</formula>
      <formula>19.99</formula>
    </cfRule>
    <cfRule type="cellIs" dxfId="1038" priority="204" stopIfTrue="1" operator="between">
      <formula>20</formula>
      <formula>49.99</formula>
    </cfRule>
    <cfRule type="cellIs" dxfId="1037" priority="205" stopIfTrue="1" operator="between">
      <formula>50</formula>
      <formula>9999</formula>
    </cfRule>
  </conditionalFormatting>
  <conditionalFormatting sqref="D78:D79">
    <cfRule type="cellIs" dxfId="1036" priority="206" stopIfTrue="1" operator="between">
      <formula>0</formula>
      <formula>19.99</formula>
    </cfRule>
    <cfRule type="cellIs" dxfId="1035" priority="207" stopIfTrue="1" operator="between">
      <formula>10</formula>
      <formula>24.99</formula>
    </cfRule>
    <cfRule type="cellIs" dxfId="1034" priority="208" stopIfTrue="1" operator="between">
      <formula>25</formula>
      <formula>99.99</formula>
    </cfRule>
  </conditionalFormatting>
  <conditionalFormatting sqref="E78:G79">
    <cfRule type="cellIs" dxfId="1033" priority="209" stopIfTrue="1" operator="between">
      <formula>0</formula>
      <formula>499.99</formula>
    </cfRule>
    <cfRule type="cellIs" dxfId="1032" priority="210" stopIfTrue="1" operator="between">
      <formula>500</formula>
      <formula>999.99</formula>
    </cfRule>
    <cfRule type="cellIs" dxfId="1031" priority="211" stopIfTrue="1" operator="between">
      <formula>1000</formula>
      <formula>9999.99</formula>
    </cfRule>
  </conditionalFormatting>
  <conditionalFormatting sqref="F78:F79">
    <cfRule type="cellIs" dxfId="1030" priority="212" operator="equal">
      <formula>$N$3</formula>
    </cfRule>
  </conditionalFormatting>
  <conditionalFormatting sqref="G78:G79">
    <cfRule type="cellIs" dxfId="1029" priority="213" operator="equal">
      <formula>$N$2</formula>
    </cfRule>
  </conditionalFormatting>
  <conditionalFormatting sqref="H78:H93">
    <cfRule type="cellIs" dxfId="1028" priority="214" operator="equal">
      <formula>"FB"</formula>
    </cfRule>
    <cfRule type="cellIs" dxfId="1027" priority="215" operator="equal">
      <formula>"RR"</formula>
    </cfRule>
    <cfRule type="cellIs" dxfId="1026" priority="216" operator="equal">
      <formula>"MTB"</formula>
    </cfRule>
  </conditionalFormatting>
  <conditionalFormatting sqref="J80">
    <cfRule type="cellIs" dxfId="1025" priority="194" stopIfTrue="1" operator="between">
      <formula>0</formula>
      <formula>0.0999</formula>
    </cfRule>
    <cfRule type="cellIs" dxfId="1024" priority="195" stopIfTrue="1" operator="between">
      <formula>0.1</formula>
      <formula>0.1499</formula>
    </cfRule>
    <cfRule type="cellIs" dxfId="1023" priority="196" stopIfTrue="1" operator="between">
      <formula>0.15</formula>
      <formula>1</formula>
    </cfRule>
  </conditionalFormatting>
  <conditionalFormatting sqref="J81">
    <cfRule type="cellIs" dxfId="1022" priority="191" stopIfTrue="1" operator="between">
      <formula>0</formula>
      <formula>0.0999</formula>
    </cfRule>
    <cfRule type="cellIs" dxfId="1021" priority="192" stopIfTrue="1" operator="between">
      <formula>0.1</formula>
      <formula>0.1499</formula>
    </cfRule>
    <cfRule type="cellIs" dxfId="1020" priority="193" stopIfTrue="1" operator="between">
      <formula>0.15</formula>
      <formula>1</formula>
    </cfRule>
  </conditionalFormatting>
  <conditionalFormatting sqref="K88">
    <cfRule type="cellIs" dxfId="1019" priority="188" stopIfTrue="1" operator="between">
      <formula>0</formula>
      <formula>0.0999</formula>
    </cfRule>
    <cfRule type="cellIs" dxfId="1018" priority="189" stopIfTrue="1" operator="between">
      <formula>0.1</formula>
      <formula>0.1499</formula>
    </cfRule>
    <cfRule type="cellIs" dxfId="1017" priority="190" stopIfTrue="1" operator="between">
      <formula>0.15</formula>
      <formula>1</formula>
    </cfRule>
  </conditionalFormatting>
  <conditionalFormatting sqref="K91">
    <cfRule type="cellIs" dxfId="1016" priority="185" stopIfTrue="1" operator="between">
      <formula>0</formula>
      <formula>0.0999</formula>
    </cfRule>
    <cfRule type="cellIs" dxfId="1015" priority="186" stopIfTrue="1" operator="between">
      <formula>0.1</formula>
      <formula>0.1499</formula>
    </cfRule>
    <cfRule type="cellIs" dxfId="1014" priority="187" stopIfTrue="1" operator="between">
      <formula>0.15</formula>
      <formula>1</formula>
    </cfRule>
  </conditionalFormatting>
  <conditionalFormatting sqref="J92">
    <cfRule type="cellIs" dxfId="1013" priority="182" stopIfTrue="1" operator="between">
      <formula>0</formula>
      <formula>0.0999</formula>
    </cfRule>
    <cfRule type="cellIs" dxfId="1012" priority="183" stopIfTrue="1" operator="between">
      <formula>0.1</formula>
      <formula>0.1499</formula>
    </cfRule>
    <cfRule type="cellIs" dxfId="1011" priority="184" stopIfTrue="1" operator="between">
      <formula>0.15</formula>
      <formula>1</formula>
    </cfRule>
  </conditionalFormatting>
  <conditionalFormatting sqref="I95:I96">
    <cfRule type="cellIs" dxfId="1010" priority="145" stopIfTrue="1" operator="between">
      <formula>0</formula>
      <formula>0.0999</formula>
    </cfRule>
    <cfRule type="cellIs" dxfId="1009" priority="146" stopIfTrue="1" operator="between">
      <formula>0.1</formula>
      <formula>0.1499</formula>
    </cfRule>
    <cfRule type="cellIs" dxfId="1008" priority="147" stopIfTrue="1" operator="between">
      <formula>0.15</formula>
      <formula>1</formula>
    </cfRule>
  </conditionalFormatting>
  <conditionalFormatting sqref="B95:B96">
    <cfRule type="cellIs" dxfId="1007" priority="148" stopIfTrue="1" operator="between">
      <formula>0</formula>
      <formula>0.0416550925925926</formula>
    </cfRule>
    <cfRule type="cellIs" dxfId="1006" priority="149" stopIfTrue="1" operator="between">
      <formula>0.0416666666666667</formula>
      <formula>0.0833217592592593</formula>
    </cfRule>
    <cfRule type="cellIs" dxfId="1005" priority="150" stopIfTrue="1" operator="between">
      <formula>0.0833333333333333</formula>
      <formula>4.16665509259259</formula>
    </cfRule>
  </conditionalFormatting>
  <conditionalFormatting sqref="C95:C96">
    <cfRule type="cellIs" dxfId="1004" priority="151" stopIfTrue="1" operator="between">
      <formula>0</formula>
      <formula>19.99</formula>
    </cfRule>
    <cfRule type="cellIs" dxfId="1003" priority="152" stopIfTrue="1" operator="between">
      <formula>20</formula>
      <formula>49.99</formula>
    </cfRule>
    <cfRule type="cellIs" dxfId="1002" priority="153" stopIfTrue="1" operator="between">
      <formula>50</formula>
      <formula>9999</formula>
    </cfRule>
  </conditionalFormatting>
  <conditionalFormatting sqref="D95:D96">
    <cfRule type="cellIs" dxfId="1001" priority="154" stopIfTrue="1" operator="between">
      <formula>0</formula>
      <formula>19.99</formula>
    </cfRule>
    <cfRule type="cellIs" dxfId="1000" priority="155" stopIfTrue="1" operator="between">
      <formula>10</formula>
      <formula>24.99</formula>
    </cfRule>
    <cfRule type="cellIs" dxfId="999" priority="156" stopIfTrue="1" operator="between">
      <formula>25</formula>
      <formula>99.99</formula>
    </cfRule>
  </conditionalFormatting>
  <conditionalFormatting sqref="E95:G96">
    <cfRule type="cellIs" dxfId="998" priority="157" stopIfTrue="1" operator="between">
      <formula>0</formula>
      <formula>499.99</formula>
    </cfRule>
    <cfRule type="cellIs" dxfId="997" priority="158" stopIfTrue="1" operator="between">
      <formula>500</formula>
      <formula>999.99</formula>
    </cfRule>
    <cfRule type="cellIs" dxfId="996" priority="159" stopIfTrue="1" operator="between">
      <formula>1000</formula>
      <formula>9999.99</formula>
    </cfRule>
  </conditionalFormatting>
  <conditionalFormatting sqref="F95:F96">
    <cfRule type="cellIs" dxfId="995" priority="160" operator="equal">
      <formula>$N$3</formula>
    </cfRule>
  </conditionalFormatting>
  <conditionalFormatting sqref="G95:G96">
    <cfRule type="cellIs" dxfId="994" priority="161" operator="equal">
      <formula>$N$2</formula>
    </cfRule>
  </conditionalFormatting>
  <conditionalFormatting sqref="J97">
    <cfRule type="cellIs" dxfId="993" priority="142" stopIfTrue="1" operator="between">
      <formula>0</formula>
      <formula>0.0999</formula>
    </cfRule>
    <cfRule type="cellIs" dxfId="992" priority="143" stopIfTrue="1" operator="between">
      <formula>0.1</formula>
      <formula>0.1499</formula>
    </cfRule>
    <cfRule type="cellIs" dxfId="991" priority="144" stopIfTrue="1" operator="between">
      <formula>0.15</formula>
      <formula>1</formula>
    </cfRule>
  </conditionalFormatting>
  <conditionalFormatting sqref="J98">
    <cfRule type="cellIs" dxfId="990" priority="139" stopIfTrue="1" operator="between">
      <formula>0</formula>
      <formula>0.0999</formula>
    </cfRule>
    <cfRule type="cellIs" dxfId="989" priority="140" stopIfTrue="1" operator="between">
      <formula>0.1</formula>
      <formula>0.1499</formula>
    </cfRule>
    <cfRule type="cellIs" dxfId="988" priority="141" stopIfTrue="1" operator="between">
      <formula>0.15</formula>
      <formula>1</formula>
    </cfRule>
  </conditionalFormatting>
  <conditionalFormatting sqref="I107:I116">
    <cfRule type="cellIs" dxfId="987" priority="113" stopIfTrue="1" operator="between">
      <formula>0</formula>
      <formula>0.0999</formula>
    </cfRule>
    <cfRule type="cellIs" dxfId="986" priority="114" stopIfTrue="1" operator="between">
      <formula>0.1</formula>
      <formula>0.1499</formula>
    </cfRule>
    <cfRule type="cellIs" dxfId="985" priority="115" stopIfTrue="1" operator="between">
      <formula>0.15</formula>
      <formula>1</formula>
    </cfRule>
  </conditionalFormatting>
  <conditionalFormatting sqref="B107:B116">
    <cfRule type="cellIs" dxfId="984" priority="116" stopIfTrue="1" operator="between">
      <formula>0</formula>
      <formula>0.0416550925925926</formula>
    </cfRule>
    <cfRule type="cellIs" dxfId="983" priority="117" stopIfTrue="1" operator="between">
      <formula>0.0416666666666667</formula>
      <formula>0.0833217592592593</formula>
    </cfRule>
    <cfRule type="cellIs" dxfId="982" priority="118" stopIfTrue="1" operator="between">
      <formula>0.0833333333333333</formula>
      <formula>4.16665509259259</formula>
    </cfRule>
  </conditionalFormatting>
  <conditionalFormatting sqref="C107:C116">
    <cfRule type="cellIs" dxfId="981" priority="119" stopIfTrue="1" operator="between">
      <formula>0</formula>
      <formula>19.99</formula>
    </cfRule>
    <cfRule type="cellIs" dxfId="980" priority="120" stopIfTrue="1" operator="between">
      <formula>20</formula>
      <formula>49.99</formula>
    </cfRule>
    <cfRule type="cellIs" dxfId="979" priority="121" stopIfTrue="1" operator="between">
      <formula>50</formula>
      <formula>9999</formula>
    </cfRule>
  </conditionalFormatting>
  <conditionalFormatting sqref="D107:D116">
    <cfRule type="cellIs" dxfId="978" priority="122" stopIfTrue="1" operator="between">
      <formula>0</formula>
      <formula>19.99</formula>
    </cfRule>
    <cfRule type="cellIs" dxfId="977" priority="123" stopIfTrue="1" operator="between">
      <formula>10</formula>
      <formula>24.99</formula>
    </cfRule>
    <cfRule type="cellIs" dxfId="976" priority="124" stopIfTrue="1" operator="between">
      <formula>25</formula>
      <formula>99.99</formula>
    </cfRule>
  </conditionalFormatting>
  <conditionalFormatting sqref="E107:G116">
    <cfRule type="cellIs" dxfId="975" priority="125" stopIfTrue="1" operator="between">
      <formula>0</formula>
      <formula>499.99</formula>
    </cfRule>
    <cfRule type="cellIs" dxfId="974" priority="126" stopIfTrue="1" operator="between">
      <formula>500</formula>
      <formula>999.99</formula>
    </cfRule>
    <cfRule type="cellIs" dxfId="973" priority="127" stopIfTrue="1" operator="between">
      <formula>1000</formula>
      <formula>9999.99</formula>
    </cfRule>
  </conditionalFormatting>
  <conditionalFormatting sqref="F107:F116">
    <cfRule type="cellIs" dxfId="972" priority="128" operator="equal">
      <formula>$N$3</formula>
    </cfRule>
  </conditionalFormatting>
  <conditionalFormatting sqref="G107:G116">
    <cfRule type="cellIs" dxfId="971" priority="129" operator="equal">
      <formula>$N$2</formula>
    </cfRule>
  </conditionalFormatting>
  <conditionalFormatting sqref="H105:H116">
    <cfRule type="cellIs" dxfId="970" priority="110" operator="equal">
      <formula>"FB"</formula>
    </cfRule>
    <cfRule type="cellIs" dxfId="969" priority="111" operator="equal">
      <formula>"RR"</formula>
    </cfRule>
    <cfRule type="cellIs" dxfId="968" priority="112" operator="equal">
      <formula>"MTB"</formula>
    </cfRule>
  </conditionalFormatting>
  <conditionalFormatting sqref="I105:I106">
    <cfRule type="cellIs" dxfId="967" priority="93" stopIfTrue="1" operator="between">
      <formula>0</formula>
      <formula>0.0999</formula>
    </cfRule>
    <cfRule type="cellIs" dxfId="966" priority="94" stopIfTrue="1" operator="between">
      <formula>0.1</formula>
      <formula>0.1499</formula>
    </cfRule>
    <cfRule type="cellIs" dxfId="965" priority="95" stopIfTrue="1" operator="between">
      <formula>0.15</formula>
      <formula>1</formula>
    </cfRule>
  </conditionalFormatting>
  <conditionalFormatting sqref="B105:B106">
    <cfRule type="cellIs" dxfId="964" priority="96" stopIfTrue="1" operator="between">
      <formula>0</formula>
      <formula>0.0416550925925926</formula>
    </cfRule>
    <cfRule type="cellIs" dxfId="963" priority="97" stopIfTrue="1" operator="between">
      <formula>0.0416666666666667</formula>
      <formula>0.0833217592592593</formula>
    </cfRule>
    <cfRule type="cellIs" dxfId="962" priority="98" stopIfTrue="1" operator="between">
      <formula>0.0833333333333333</formula>
      <formula>4.16665509259259</formula>
    </cfRule>
  </conditionalFormatting>
  <conditionalFormatting sqref="C105:C106">
    <cfRule type="cellIs" dxfId="961" priority="99" stopIfTrue="1" operator="between">
      <formula>0</formula>
      <formula>19.99</formula>
    </cfRule>
    <cfRule type="cellIs" dxfId="960" priority="100" stopIfTrue="1" operator="between">
      <formula>20</formula>
      <formula>49.99</formula>
    </cfRule>
    <cfRule type="cellIs" dxfId="959" priority="101" stopIfTrue="1" operator="between">
      <formula>50</formula>
      <formula>9999</formula>
    </cfRule>
  </conditionalFormatting>
  <conditionalFormatting sqref="D105:D106">
    <cfRule type="cellIs" dxfId="958" priority="102" stopIfTrue="1" operator="between">
      <formula>0</formula>
      <formula>19.99</formula>
    </cfRule>
    <cfRule type="cellIs" dxfId="957" priority="103" stopIfTrue="1" operator="between">
      <formula>10</formula>
      <formula>24.99</formula>
    </cfRule>
    <cfRule type="cellIs" dxfId="956" priority="104" stopIfTrue="1" operator="between">
      <formula>25</formula>
      <formula>99.99</formula>
    </cfRule>
  </conditionalFormatting>
  <conditionalFormatting sqref="E105:G106">
    <cfRule type="cellIs" dxfId="955" priority="105" stopIfTrue="1" operator="between">
      <formula>0</formula>
      <formula>499.99</formula>
    </cfRule>
    <cfRule type="cellIs" dxfId="954" priority="106" stopIfTrue="1" operator="between">
      <formula>500</formula>
      <formula>999.99</formula>
    </cfRule>
    <cfRule type="cellIs" dxfId="953" priority="107" stopIfTrue="1" operator="between">
      <formula>1000</formula>
      <formula>9999.99</formula>
    </cfRule>
  </conditionalFormatting>
  <conditionalFormatting sqref="F105:F106">
    <cfRule type="cellIs" dxfId="952" priority="108" operator="equal">
      <formula>$N$3</formula>
    </cfRule>
  </conditionalFormatting>
  <conditionalFormatting sqref="G105:G106">
    <cfRule type="cellIs" dxfId="951" priority="109" operator="equal">
      <formula>$N$2</formula>
    </cfRule>
  </conditionalFormatting>
  <conditionalFormatting sqref="J107">
    <cfRule type="cellIs" dxfId="950" priority="90" stopIfTrue="1" operator="between">
      <formula>0</formula>
      <formula>0.0999</formula>
    </cfRule>
    <cfRule type="cellIs" dxfId="949" priority="91" stopIfTrue="1" operator="between">
      <formula>0.1</formula>
      <formula>0.1499</formula>
    </cfRule>
    <cfRule type="cellIs" dxfId="948" priority="92" stopIfTrue="1" operator="between">
      <formula>0.15</formula>
      <formula>1</formula>
    </cfRule>
  </conditionalFormatting>
  <conditionalFormatting sqref="J108">
    <cfRule type="cellIs" dxfId="947" priority="87" stopIfTrue="1" operator="between">
      <formula>0</formula>
      <formula>0.0999</formula>
    </cfRule>
    <cfRule type="cellIs" dxfId="946" priority="88" stopIfTrue="1" operator="between">
      <formula>0.1</formula>
      <formula>0.1499</formula>
    </cfRule>
    <cfRule type="cellIs" dxfId="945" priority="89" stopIfTrue="1" operator="between">
      <formula>0.15</formula>
      <formula>1</formula>
    </cfRule>
  </conditionalFormatting>
  <conditionalFormatting sqref="I118:I119">
    <cfRule type="cellIs" dxfId="944" priority="50" stopIfTrue="1" operator="between">
      <formula>0</formula>
      <formula>0.0999</formula>
    </cfRule>
    <cfRule type="cellIs" dxfId="943" priority="51" stopIfTrue="1" operator="between">
      <formula>0.1</formula>
      <formula>0.1499</formula>
    </cfRule>
    <cfRule type="cellIs" dxfId="942" priority="52" stopIfTrue="1" operator="between">
      <formula>0.15</formula>
      <formula>1</formula>
    </cfRule>
  </conditionalFormatting>
  <conditionalFormatting sqref="B118:B119">
    <cfRule type="cellIs" dxfId="941" priority="53" stopIfTrue="1" operator="between">
      <formula>0</formula>
      <formula>0.0416550925925926</formula>
    </cfRule>
    <cfRule type="cellIs" dxfId="940" priority="54" stopIfTrue="1" operator="between">
      <formula>0.0416666666666667</formula>
      <formula>0.0833217592592593</formula>
    </cfRule>
    <cfRule type="cellIs" dxfId="939" priority="55" stopIfTrue="1" operator="between">
      <formula>0.0833333333333333</formula>
      <formula>4.16665509259259</formula>
    </cfRule>
  </conditionalFormatting>
  <conditionalFormatting sqref="C118:C119">
    <cfRule type="cellIs" dxfId="938" priority="56" stopIfTrue="1" operator="between">
      <formula>0</formula>
      <formula>19.99</formula>
    </cfRule>
    <cfRule type="cellIs" dxfId="937" priority="57" stopIfTrue="1" operator="between">
      <formula>20</formula>
      <formula>49.99</formula>
    </cfRule>
    <cfRule type="cellIs" dxfId="936" priority="58" stopIfTrue="1" operator="between">
      <formula>50</formula>
      <formula>9999</formula>
    </cfRule>
  </conditionalFormatting>
  <conditionalFormatting sqref="D118:D119">
    <cfRule type="cellIs" dxfId="935" priority="59" stopIfTrue="1" operator="between">
      <formula>0</formula>
      <formula>19.99</formula>
    </cfRule>
    <cfRule type="cellIs" dxfId="934" priority="60" stopIfTrue="1" operator="between">
      <formula>10</formula>
      <formula>24.99</formula>
    </cfRule>
    <cfRule type="cellIs" dxfId="933" priority="61" stopIfTrue="1" operator="between">
      <formula>25</formula>
      <formula>99.99</formula>
    </cfRule>
  </conditionalFormatting>
  <conditionalFormatting sqref="E118:G119">
    <cfRule type="cellIs" dxfId="932" priority="62" stopIfTrue="1" operator="between">
      <formula>0</formula>
      <formula>499.99</formula>
    </cfRule>
    <cfRule type="cellIs" dxfId="931" priority="63" stopIfTrue="1" operator="between">
      <formula>500</formula>
      <formula>999.99</formula>
    </cfRule>
    <cfRule type="cellIs" dxfId="930" priority="64" stopIfTrue="1" operator="between">
      <formula>1000</formula>
      <formula>9999.99</formula>
    </cfRule>
  </conditionalFormatting>
  <conditionalFormatting sqref="F118:F119">
    <cfRule type="cellIs" dxfId="929" priority="65" operator="equal">
      <formula>$N$3</formula>
    </cfRule>
  </conditionalFormatting>
  <conditionalFormatting sqref="G118:G119">
    <cfRule type="cellIs" dxfId="928" priority="66" operator="equal">
      <formula>$N$2</formula>
    </cfRule>
  </conditionalFormatting>
  <conditionalFormatting sqref="J120">
    <cfRule type="cellIs" dxfId="927" priority="47" stopIfTrue="1" operator="between">
      <formula>0</formula>
      <formula>0.0999</formula>
    </cfRule>
    <cfRule type="cellIs" dxfId="926" priority="48" stopIfTrue="1" operator="between">
      <formula>0.1</formula>
      <formula>0.1499</formula>
    </cfRule>
    <cfRule type="cellIs" dxfId="925" priority="49" stopIfTrue="1" operator="between">
      <formula>0.15</formula>
      <formula>1</formula>
    </cfRule>
  </conditionalFormatting>
  <conditionalFormatting sqref="J121">
    <cfRule type="cellIs" dxfId="924" priority="44" stopIfTrue="1" operator="between">
      <formula>0</formula>
      <formula>0.0999</formula>
    </cfRule>
    <cfRule type="cellIs" dxfId="923" priority="45" stopIfTrue="1" operator="between">
      <formula>0.1</formula>
      <formula>0.1499</formula>
    </cfRule>
    <cfRule type="cellIs" dxfId="922" priority="46" stopIfTrue="1" operator="between">
      <formula>0.15</formula>
      <formula>1</formula>
    </cfRule>
  </conditionalFormatting>
  <conditionalFormatting sqref="I130:I131">
    <cfRule type="cellIs" dxfId="921" priority="7" stopIfTrue="1" operator="between">
      <formula>0</formula>
      <formula>0.0999</formula>
    </cfRule>
    <cfRule type="cellIs" dxfId="920" priority="8" stopIfTrue="1" operator="between">
      <formula>0.1</formula>
      <formula>0.1499</formula>
    </cfRule>
    <cfRule type="cellIs" dxfId="919" priority="9" stopIfTrue="1" operator="between">
      <formula>0.15</formula>
      <formula>1</formula>
    </cfRule>
  </conditionalFormatting>
  <conditionalFormatting sqref="B130:B131">
    <cfRule type="cellIs" dxfId="918" priority="10" stopIfTrue="1" operator="between">
      <formula>0</formula>
      <formula>0.0416550925925926</formula>
    </cfRule>
    <cfRule type="cellIs" dxfId="917" priority="11" stopIfTrue="1" operator="between">
      <formula>0.0416666666666667</formula>
      <formula>0.0833217592592593</formula>
    </cfRule>
    <cfRule type="cellIs" dxfId="916" priority="12" stopIfTrue="1" operator="between">
      <formula>0.0833333333333333</formula>
      <formula>4.16665509259259</formula>
    </cfRule>
  </conditionalFormatting>
  <conditionalFormatting sqref="C130:C131">
    <cfRule type="cellIs" dxfId="915" priority="13" stopIfTrue="1" operator="between">
      <formula>0</formula>
      <formula>19.99</formula>
    </cfRule>
    <cfRule type="cellIs" dxfId="914" priority="14" stopIfTrue="1" operator="between">
      <formula>20</formula>
      <formula>49.99</formula>
    </cfRule>
    <cfRule type="cellIs" dxfId="913" priority="15" stopIfTrue="1" operator="between">
      <formula>50</formula>
      <formula>9999</formula>
    </cfRule>
  </conditionalFormatting>
  <conditionalFormatting sqref="D130:D131">
    <cfRule type="cellIs" dxfId="912" priority="16" stopIfTrue="1" operator="between">
      <formula>0</formula>
      <formula>19.99</formula>
    </cfRule>
    <cfRule type="cellIs" dxfId="911" priority="17" stopIfTrue="1" operator="between">
      <formula>10</formula>
      <formula>24.99</formula>
    </cfRule>
    <cfRule type="cellIs" dxfId="910" priority="18" stopIfTrue="1" operator="between">
      <formula>25</formula>
      <formula>99.99</formula>
    </cfRule>
  </conditionalFormatting>
  <conditionalFormatting sqref="E130:G131">
    <cfRule type="cellIs" dxfId="909" priority="19" stopIfTrue="1" operator="between">
      <formula>0</formula>
      <formula>499.99</formula>
    </cfRule>
    <cfRule type="cellIs" dxfId="908" priority="20" stopIfTrue="1" operator="between">
      <formula>500</formula>
      <formula>999.99</formula>
    </cfRule>
    <cfRule type="cellIs" dxfId="907" priority="21" stopIfTrue="1" operator="between">
      <formula>1000</formula>
      <formula>9999.99</formula>
    </cfRule>
  </conditionalFormatting>
  <conditionalFormatting sqref="F130:F131">
    <cfRule type="cellIs" dxfId="906" priority="22" operator="equal">
      <formula>$N$3</formula>
    </cfRule>
  </conditionalFormatting>
  <conditionalFormatting sqref="G130:G131">
    <cfRule type="cellIs" dxfId="905" priority="23" operator="equal">
      <formula>$N$2</formula>
    </cfRule>
  </conditionalFormatting>
  <conditionalFormatting sqref="J132">
    <cfRule type="cellIs" dxfId="904" priority="4" stopIfTrue="1" operator="between">
      <formula>0</formula>
      <formula>0.0999</formula>
    </cfRule>
    <cfRule type="cellIs" dxfId="903" priority="5" stopIfTrue="1" operator="between">
      <formula>0.1</formula>
      <formula>0.1499</formula>
    </cfRule>
    <cfRule type="cellIs" dxfId="902" priority="6" stopIfTrue="1" operator="between">
      <formula>0.15</formula>
      <formula>1</formula>
    </cfRule>
  </conditionalFormatting>
  <conditionalFormatting sqref="J133">
    <cfRule type="cellIs" dxfId="901" priority="1" stopIfTrue="1" operator="between">
      <formula>0</formula>
      <formula>0.0999</formula>
    </cfRule>
    <cfRule type="cellIs" dxfId="900" priority="2" stopIfTrue="1" operator="between">
      <formula>0.1</formula>
      <formula>0.1499</formula>
    </cfRule>
    <cfRule type="cellIs" dxfId="899" priority="3" stopIfTrue="1" operator="between">
      <formula>0.15</formula>
      <formula>1</formula>
    </cfRule>
  </conditionalFormatting>
  <hyperlinks>
    <hyperlink ref="I15:I18" r:id="rId1" display="Bild" xr:uid="{00000000-0004-0000-1200-000000000000}"/>
    <hyperlink ref="I14" r:id="rId2" tooltip="Blickrichtung Nord-Ost über Fischbach auf das Stuhleck " display="Bild" xr:uid="{00000000-0004-0000-1200-000001000000}"/>
    <hyperlink ref="I15" r:id="rId3" tooltip="Blick von der Burg Oberkapfenberg nach Nordwesten" display="Bild" xr:uid="{00000000-0004-0000-1200-000002000000}"/>
    <hyperlink ref="I17" r:id="rId4" tooltip="Blickrichung West von Seewiesen zum Hochschwab 2277 m." display="Bild" xr:uid="{00000000-0004-0000-1200-000003000000}"/>
    <hyperlink ref="I18" r:id="rId5" tooltip="Zwischen Mürzsteg und Niederalpl" display="Bild" xr:uid="{00000000-0004-0000-1200-000004000000}"/>
    <hyperlink ref="J18" r:id="rId6" tooltip="Die Österreichrundfahrt erreicht Langenwang am 13. Juli 2007." display="Bild" xr:uid="{00000000-0004-0000-1200-000005000000}"/>
    <hyperlink ref="I16" r:id="rId7" tooltip="Webcam" xr:uid="{00000000-0004-0000-1200-000006000000}"/>
    <hyperlink ref="J14" r:id="rId8" tooltip="Wikipedia-Artikel über das Stuhleck" display="Wiki" xr:uid="{00000000-0004-0000-1200-000007000000}"/>
    <hyperlink ref="A13" r:id="rId9" xr:uid="{00000000-0004-0000-1200-000008000000}"/>
    <hyperlink ref="J15" r:id="rId10" tooltip="Wikipedia-Artikel über Fischbach" display="Wiki" xr:uid="{00000000-0004-0000-1200-000009000000}"/>
    <hyperlink ref="J17" r:id="rId11" tooltip="Wikipedia-Artikel über Mariazell" display="Wiki" xr:uid="{00000000-0004-0000-1200-00000A000000}"/>
    <hyperlink ref="K18" r:id="rId12" tooltip="Wikipedia-Artikel über Langenwang" display="Wiki" xr:uid="{00000000-0004-0000-1200-00000B000000}"/>
    <hyperlink ref="I5:I9" r:id="rId13" display="Bild" xr:uid="{00000000-0004-0000-1200-00000C000000}"/>
    <hyperlink ref="I6" r:id="rId14" display="Bild" xr:uid="{00000000-0004-0000-1200-00000D000000}"/>
    <hyperlink ref="I4" r:id="rId15" display="Bild" xr:uid="{00000000-0004-0000-1200-00000E000000}"/>
    <hyperlink ref="I5" r:id="rId16" display="Bild" xr:uid="{00000000-0004-0000-1200-00000F000000}"/>
    <hyperlink ref="I9" r:id="rId17" display="Bild" xr:uid="{00000000-0004-0000-1200-000010000000}"/>
    <hyperlink ref="I7" r:id="rId18" display="Bild" xr:uid="{00000000-0004-0000-1200-000011000000}"/>
    <hyperlink ref="I29" r:id="rId19" display="Wiki" xr:uid="{00000000-0004-0000-1200-000012000000}"/>
    <hyperlink ref="I33" r:id="rId20" tooltip="Der höchste Punkt der Plaine Champagne auf Mauritius liegt auf ca. 744 m Höhe und kann mit einem Strassenrad erreicht werden." display="Bild" xr:uid="{00000000-0004-0000-1200-000013000000}"/>
    <hyperlink ref="I38" r:id="rId21" tooltip="Der höchste Punkt der Strecke liegt ca. 100 Meter höher als der Pass" display="Wiki" xr:uid="{00000000-0004-0000-1200-000014000000}"/>
    <hyperlink ref="I39" r:id="rId22" tooltip="Der nördlichste Gipfel des Monte Baldo ist der Monte Altissimo" display="Wiki" xr:uid="{00000000-0004-0000-1200-000015000000}"/>
    <hyperlink ref="I44" r:id="rId23" display="Bild" xr:uid="{00000000-0004-0000-1200-000016000000}"/>
    <hyperlink ref="I45" r:id="rId24" display="Bild" xr:uid="{00000000-0004-0000-1200-000017000000}"/>
    <hyperlink ref="G1" location="Urlaub!A42" display="Tenerife 1" xr:uid="{00000000-0004-0000-1200-000018000000}"/>
    <hyperlink ref="B1" location="Urlaub!A2" display="La Palma" xr:uid="{00000000-0004-0000-1200-000019000000}"/>
    <hyperlink ref="C1" location="Urlaub!A12" display="Steiermark" xr:uid="{00000000-0004-0000-1200-00001A000000}"/>
    <hyperlink ref="D1" location="Urlaub!A21" display="Gran Canaria" xr:uid="{00000000-0004-0000-1200-00001B000000}"/>
    <hyperlink ref="E1" location="Urlaub!A31" display="Mauritius" xr:uid="{00000000-0004-0000-1200-00001C000000}"/>
    <hyperlink ref="F1" location="Urlaub!A36" display="Gardasee" xr:uid="{00000000-0004-0000-1200-00001D000000}"/>
    <hyperlink ref="H1" location="Urlaub!A51" display="Tenerife 2" xr:uid="{00000000-0004-0000-1200-00001E000000}"/>
    <hyperlink ref="I54" r:id="rId25" display="Bild" xr:uid="{00000000-0004-0000-1200-00001F000000}"/>
    <hyperlink ref="I55" r:id="rId26" display="Bild" xr:uid="{00000000-0004-0000-1200-000020000000}"/>
    <hyperlink ref="I1" location="Urlaub!A59" display="Tenerife 3" xr:uid="{00000000-0004-0000-1200-000021000000}"/>
    <hyperlink ref="I68" r:id="rId27" display="Bild" xr:uid="{00000000-0004-0000-1200-000022000000}"/>
    <hyperlink ref="I61" r:id="rId28" display="Bild" xr:uid="{00000000-0004-0000-1200-000023000000}"/>
    <hyperlink ref="I62" r:id="rId29" display="Bild" xr:uid="{00000000-0004-0000-1200-000024000000}"/>
    <hyperlink ref="I63" r:id="rId30" display="Bild" xr:uid="{00000000-0004-0000-1200-000025000000}"/>
    <hyperlink ref="I65" r:id="rId31" display="Bild" xr:uid="{00000000-0004-0000-1200-000026000000}"/>
    <hyperlink ref="I66" r:id="rId32" display="Bild" xr:uid="{00000000-0004-0000-1200-000027000000}"/>
    <hyperlink ref="I67" r:id="rId33" display="Bild" xr:uid="{00000000-0004-0000-1200-000028000000}"/>
    <hyperlink ref="I8" r:id="rId34" display="Bild" xr:uid="{00000000-0004-0000-1200-000029000000}"/>
    <hyperlink ref="I64" r:id="rId35" display="Bild" xr:uid="{00000000-0004-0000-1200-00002A000000}"/>
    <hyperlink ref="J54" r:id="rId36" xr:uid="{00000000-0004-0000-1200-00002B000000}"/>
    <hyperlink ref="K54" r:id="rId37" xr:uid="{00000000-0004-0000-1200-00002C000000}"/>
    <hyperlink ref="I56" r:id="rId38" xr:uid="{00000000-0004-0000-1200-00002D000000}"/>
    <hyperlink ref="J56" r:id="rId39" xr:uid="{00000000-0004-0000-1200-00002E000000}"/>
    <hyperlink ref="K56" r:id="rId40" xr:uid="{00000000-0004-0000-1200-00002F000000}"/>
    <hyperlink ref="J63" r:id="rId41" xr:uid="{00000000-0004-0000-1200-000030000000}"/>
    <hyperlink ref="J65" r:id="rId42" xr:uid="{00000000-0004-0000-1200-000031000000}"/>
    <hyperlink ref="I24" r:id="rId43" xr:uid="{00000000-0004-0000-1200-000032000000}"/>
    <hyperlink ref="J24" r:id="rId44" xr:uid="{00000000-0004-0000-1200-000033000000}"/>
    <hyperlink ref="K24" r:id="rId45" xr:uid="{00000000-0004-0000-1200-000034000000}"/>
    <hyperlink ref="I23" r:id="rId46" xr:uid="{00000000-0004-0000-1200-000035000000}"/>
    <hyperlink ref="I25" r:id="rId47" xr:uid="{00000000-0004-0000-1200-000036000000}"/>
    <hyperlink ref="I26:I28" r:id="rId48" display="bild" xr:uid="{00000000-0004-0000-1200-000037000000}"/>
    <hyperlink ref="A1" location="Urlaub!A1" display="Inhalt" xr:uid="{00000000-0004-0000-1200-000038000000}"/>
    <hyperlink ref="K74" r:id="rId49" xr:uid="{00000000-0004-0000-1200-000039000000}"/>
    <hyperlink ref="J1" location="Urlaub!A71" display="Stelvio" xr:uid="{00000000-0004-0000-1200-00003A000000}"/>
    <hyperlink ref="K73" r:id="rId50" xr:uid="{00000000-0004-0000-1200-00003B000000}"/>
    <hyperlink ref="K75" r:id="rId51" xr:uid="{00000000-0004-0000-1200-00003C000000}"/>
    <hyperlink ref="I73" r:id="rId52" xr:uid="{00000000-0004-0000-1200-00003D000000}"/>
    <hyperlink ref="J73" r:id="rId53" xr:uid="{00000000-0004-0000-1200-00003E000000}"/>
    <hyperlink ref="I74" r:id="rId54" xr:uid="{00000000-0004-0000-1200-00003F000000}"/>
    <hyperlink ref="J74" r:id="rId55" xr:uid="{00000000-0004-0000-1200-000040000000}"/>
    <hyperlink ref="I75" r:id="rId56" xr:uid="{00000000-0004-0000-1200-000041000000}"/>
    <hyperlink ref="J75" r:id="rId57" xr:uid="{00000000-0004-0000-1200-000042000000}"/>
    <hyperlink ref="K1" location="Urlaub!A78" display="Tenerife 3" xr:uid="{00000000-0004-0000-1200-000043000000}"/>
    <hyperlink ref="I80" r:id="rId58" display="Bild" xr:uid="{00000000-0004-0000-1200-000044000000}"/>
    <hyperlink ref="I81" r:id="rId59" xr:uid="{00000000-0004-0000-1200-000045000000}"/>
    <hyperlink ref="I82" r:id="rId60" xr:uid="{00000000-0004-0000-1200-000046000000}"/>
    <hyperlink ref="J82" r:id="rId61" xr:uid="{00000000-0004-0000-1200-000047000000}"/>
    <hyperlink ref="I85" r:id="rId62" xr:uid="{00000000-0004-0000-1200-000048000000}"/>
    <hyperlink ref="I84" r:id="rId63" xr:uid="{00000000-0004-0000-1200-000049000000}"/>
    <hyperlink ref="I83" r:id="rId64" xr:uid="{00000000-0004-0000-1200-00004A000000}"/>
    <hyperlink ref="I86" r:id="rId65" xr:uid="{00000000-0004-0000-1200-00004B000000}"/>
    <hyperlink ref="I87" r:id="rId66" xr:uid="{00000000-0004-0000-1200-00004C000000}"/>
    <hyperlink ref="J87" r:id="rId67" xr:uid="{00000000-0004-0000-1200-00004D000000}"/>
    <hyperlink ref="I88" r:id="rId68" xr:uid="{00000000-0004-0000-1200-00004E000000}"/>
    <hyperlink ref="J88" r:id="rId69" xr:uid="{00000000-0004-0000-1200-00004F000000}"/>
    <hyperlink ref="I89" r:id="rId70" xr:uid="{00000000-0004-0000-1200-000050000000}"/>
    <hyperlink ref="J89" r:id="rId71" xr:uid="{00000000-0004-0000-1200-000051000000}"/>
    <hyperlink ref="I90" r:id="rId72" xr:uid="{00000000-0004-0000-1200-000052000000}"/>
    <hyperlink ref="J90" r:id="rId73" xr:uid="{00000000-0004-0000-1200-000053000000}"/>
    <hyperlink ref="I91" r:id="rId74" xr:uid="{00000000-0004-0000-1200-000054000000}"/>
    <hyperlink ref="J91" r:id="rId75" xr:uid="{00000000-0004-0000-1200-000055000000}"/>
    <hyperlink ref="I92" r:id="rId76" xr:uid="{00000000-0004-0000-1200-000056000000}"/>
    <hyperlink ref="J81" r:id="rId77" display="Bild" xr:uid="{00000000-0004-0000-1200-000057000000}"/>
    <hyperlink ref="K88" r:id="rId78" display="Bild" xr:uid="{00000000-0004-0000-1200-000058000000}"/>
    <hyperlink ref="K89" r:id="rId79" display="Bild" xr:uid="{00000000-0004-0000-1200-000059000000}"/>
    <hyperlink ref="K91" r:id="rId80" display="Bild" xr:uid="{00000000-0004-0000-1200-00005A000000}"/>
    <hyperlink ref="J92" r:id="rId81" xr:uid="{00000000-0004-0000-1200-00005B000000}"/>
    <hyperlink ref="K92" r:id="rId82" xr:uid="{00000000-0004-0000-1200-00005C000000}"/>
    <hyperlink ref="I97" r:id="rId83" display="Bild" xr:uid="{00000000-0004-0000-1200-00005D000000}"/>
    <hyperlink ref="I98" r:id="rId84" xr:uid="{00000000-0004-0000-1200-00005E000000}"/>
    <hyperlink ref="I99" r:id="rId85" xr:uid="{00000000-0004-0000-1200-00005F000000}"/>
    <hyperlink ref="I102" r:id="rId86" xr:uid="{00000000-0004-0000-1200-000060000000}"/>
    <hyperlink ref="J101" r:id="rId87" xr:uid="{00000000-0004-0000-1200-000061000000}"/>
    <hyperlink ref="J98" r:id="rId88" display="Bild" xr:uid="{00000000-0004-0000-1200-000062000000}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V40"/>
  <sheetViews>
    <sheetView workbookViewId="0">
      <selection sqref="A1:U1"/>
    </sheetView>
  </sheetViews>
  <sheetFormatPr baseColWidth="10" defaultColWidth="11.42578125" defaultRowHeight="12.75" x14ac:dyDescent="0.2"/>
  <cols>
    <col min="2" max="2" width="11.140625" customWidth="1"/>
    <col min="9" max="9" width="2.85546875" customWidth="1"/>
    <col min="13" max="13" width="12.42578125" bestFit="1" customWidth="1"/>
    <col min="16" max="16" width="2.85546875" customWidth="1"/>
    <col min="17" max="17" width="15.28515625" bestFit="1" customWidth="1"/>
    <col min="20" max="20" width="2.85546875" customWidth="1"/>
    <col min="21" max="21" width="14.140625" bestFit="1" customWidth="1"/>
  </cols>
  <sheetData>
    <row r="1" spans="1:21" ht="15.75" x14ac:dyDescent="0.25">
      <c r="A1" s="391" t="s">
        <v>917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</row>
    <row r="3" spans="1:21" s="60" customFormat="1" ht="15.75" x14ac:dyDescent="0.25">
      <c r="A3" s="386" t="s">
        <v>304</v>
      </c>
      <c r="B3" s="387"/>
      <c r="C3" s="387"/>
      <c r="D3" s="387"/>
      <c r="E3" s="387"/>
      <c r="F3" s="387"/>
      <c r="G3" s="387"/>
      <c r="H3" s="388"/>
      <c r="J3" s="386" t="s">
        <v>276</v>
      </c>
      <c r="K3" s="387"/>
      <c r="L3" s="388"/>
      <c r="N3" s="384" t="s">
        <v>812</v>
      </c>
      <c r="O3" s="385"/>
      <c r="Q3" s="386" t="s">
        <v>377</v>
      </c>
      <c r="R3" s="387"/>
      <c r="S3" s="388"/>
      <c r="U3" s="256" t="s">
        <v>582</v>
      </c>
    </row>
    <row r="4" spans="1:21" s="59" customFormat="1" ht="15.75" x14ac:dyDescent="0.25">
      <c r="A4" s="162" t="s">
        <v>145</v>
      </c>
      <c r="B4" s="224">
        <v>0.33333333333333331</v>
      </c>
      <c r="C4" s="113" t="s">
        <v>146</v>
      </c>
      <c r="D4" s="261">
        <f ca="1">A13-(B4/2)</f>
        <v>0.34226851851851858</v>
      </c>
      <c r="E4" s="325" t="s">
        <v>294</v>
      </c>
      <c r="F4" s="261">
        <f ca="1">A14-(B4/2)</f>
        <v>0.38393518518518521</v>
      </c>
      <c r="G4" s="325" t="s">
        <v>295</v>
      </c>
      <c r="H4" s="206"/>
      <c r="J4" s="122" t="s">
        <v>261</v>
      </c>
      <c r="K4" s="319">
        <v>590</v>
      </c>
      <c r="L4" s="125" t="s">
        <v>277</v>
      </c>
      <c r="N4" s="296" t="s">
        <v>238</v>
      </c>
      <c r="O4" s="297" t="s">
        <v>2</v>
      </c>
      <c r="Q4" s="162" t="s">
        <v>375</v>
      </c>
      <c r="R4" s="163">
        <f>MAX('08'!G1,'09'!I1,'10'!I1,'11'!I1,'12'!I1,'13'!I1,'14'!I1,'15'!I1,'16'!I1,'17'!I1,'18'!I1)</f>
        <v>207</v>
      </c>
      <c r="S4" s="164">
        <f>MAX('08'!C1,'09'!E1,'10'!E1,'11'!E1,'12'!E1,'13'!E1,'14'!E1,'15'!E1,'16'!E1,'17'!E1,'18'!E1)</f>
        <v>8113.8899999999985</v>
      </c>
      <c r="U4" s="251">
        <v>2.8472222222222222E-2</v>
      </c>
    </row>
    <row r="5" spans="1:21" ht="15.75" customHeight="1" x14ac:dyDescent="0.2">
      <c r="A5" s="100" t="s">
        <v>125</v>
      </c>
      <c r="E5" s="109" t="s">
        <v>55</v>
      </c>
      <c r="H5" s="108"/>
      <c r="J5" s="123" t="s">
        <v>262</v>
      </c>
      <c r="K5" s="320">
        <v>2035</v>
      </c>
      <c r="L5" s="126" t="s">
        <v>277</v>
      </c>
      <c r="N5" s="293">
        <f>AVERAGE('08'!C1:D1,'09'!E1:F1,'10'!E1:F1,'11'!E1:F1,'12'!E1:F1,'13'!E1:F1,'14'!E1:F1,'15'!E1:F1,'16'!E1:F1,'17'!E1:F1)</f>
        <v>7059.7260000000006</v>
      </c>
      <c r="O5" s="164">
        <f>AVERAGE('08'!AI1:AJ1,'09'!AU1:AV1,'10'!AU1:AV1,'11'!AU1:AV1,'12'!AU1:AV1,'13'!AU1:AV1,'14'!AU1:AV1,'15'!AU1:AV1,'16'!AU1:AV1,'17'!AU1:AV1)</f>
        <v>68608.800000000003</v>
      </c>
      <c r="Q5" s="162" t="s">
        <v>376</v>
      </c>
      <c r="R5" s="165">
        <f>MAX(Urlaub!N2,'08'!AE1,'09'!AN1,'10'!AN1,'11'!AN1,'12'!AN1,'13'!AN1,'14'!AN1,'15'!AN1,'16'!AN1,'17'!AN1,'18'!AN1)</f>
        <v>2700</v>
      </c>
      <c r="S5" s="164">
        <f>MAX('08'!AI1,'09'!AU1,'10'!AU1,'11'!AU1,'12'!AU1,'13'!AU1,'14'!AU1,'15'!AU1,'16'!AU1,'17'!AU1,'18'!AU1)</f>
        <v>89263</v>
      </c>
      <c r="U5" s="251">
        <v>3.6805555555555557E-2</v>
      </c>
    </row>
    <row r="6" spans="1:21" x14ac:dyDescent="0.2">
      <c r="A6" s="100" t="s">
        <v>126</v>
      </c>
      <c r="D6" t="s">
        <v>331</v>
      </c>
      <c r="H6" s="108"/>
      <c r="J6" s="122" t="s">
        <v>263</v>
      </c>
      <c r="K6" s="319">
        <v>590</v>
      </c>
      <c r="L6" s="125" t="s">
        <v>277</v>
      </c>
      <c r="N6" s="389" t="s">
        <v>736</v>
      </c>
      <c r="O6" s="390"/>
      <c r="Q6" s="162" t="s">
        <v>477</v>
      </c>
      <c r="R6" s="165">
        <f>MAX('08'!AC40,'09'!AL42,'10'!AL42,'11'!AL42,'12'!AL42,'13'!AL42,'14'!AL42,'15'!AL42,'16'!AL42,'17'!AL42,'18'!AL42)</f>
        <v>1042.1100000000001</v>
      </c>
      <c r="S6" s="164">
        <f>MAX('08'!AD40,'09'!AM42,'10'!AM42,'11'!AM42,'12'!AM42,'13'!AM42,'14'!AM42,'15'!AM42,'16'!AM42,'17'!AM42,'18'!AM42)</f>
        <v>13461</v>
      </c>
      <c r="U6" s="251"/>
    </row>
    <row r="7" spans="1:21" x14ac:dyDescent="0.2">
      <c r="A7" s="110">
        <v>9</v>
      </c>
      <c r="B7" t="s">
        <v>127</v>
      </c>
      <c r="D7">
        <v>49</v>
      </c>
      <c r="E7" t="s">
        <v>332</v>
      </c>
      <c r="H7" s="108"/>
      <c r="J7" s="123" t="s">
        <v>264</v>
      </c>
      <c r="K7" s="320">
        <v>620</v>
      </c>
      <c r="L7" s="126" t="s">
        <v>277</v>
      </c>
      <c r="N7" s="293">
        <f>S4-N5</f>
        <v>1054.1639999999979</v>
      </c>
      <c r="O7" s="164">
        <f>S5-O5</f>
        <v>20654.199999999997</v>
      </c>
      <c r="Q7" s="162" t="s">
        <v>918</v>
      </c>
      <c r="R7" s="138">
        <f>MAX('09'!AR1,'10'!AR1,'11'!AR1,'12'!AR1,'13'!AR1,'14'!AR1,'15'!AR1,'16'!AR1,'17'!AR1,'18'!AR1)</f>
        <v>0.125</v>
      </c>
      <c r="S7" s="164">
        <f>MAX('09'!AV35,'10'!AV35,'11'!AV35,'12'!AV35,'13'!AV35,'14'!AV35,'15'!AV35,'16'!AV35,'17'!AV35,'18'!AV35)</f>
        <v>920.8</v>
      </c>
      <c r="U7" s="251"/>
    </row>
    <row r="8" spans="1:21" x14ac:dyDescent="0.2">
      <c r="A8" s="111">
        <v>13</v>
      </c>
      <c r="B8" t="s">
        <v>128</v>
      </c>
      <c r="D8">
        <v>42</v>
      </c>
      <c r="E8" t="s">
        <v>333</v>
      </c>
      <c r="H8" s="108"/>
      <c r="J8" s="122" t="s">
        <v>265</v>
      </c>
      <c r="K8" s="319"/>
      <c r="L8" s="125" t="s">
        <v>277</v>
      </c>
      <c r="N8" s="294">
        <f>N5/S4</f>
        <v>0.87007908660334343</v>
      </c>
      <c r="O8" s="295">
        <f>O5/S5</f>
        <v>0.76861409542587633</v>
      </c>
      <c r="Q8" s="166" t="s">
        <v>753</v>
      </c>
      <c r="R8" s="145">
        <f>MAX('08'!B40,'09'!T1:U1,'10'!T1:U1,'11'!T1:U1,'12'!T1:U1,'13'!T1:U1,'14'!T1:U1,'15'!T1:U1,'16'!T1:U1,'17'!T1:U1,'18'!T1:U1)</f>
        <v>28.737098655776773</v>
      </c>
      <c r="S8" s="208">
        <f>MAX('08'!C40,'09'!AB1:AC1,'10'!AB1:AC1,'11'!AB1:AC1,'12'!AB1:AC1,'13'!AB1:AC1,'14'!AB1:AC1,'15'!AB1:AC1,'16'!AB1:AC1,'17'!AB1:AC1,'18'!AB1:AC1)</f>
        <v>297.89439566472174</v>
      </c>
      <c r="U8" s="252">
        <f>SUM(U4:U7)</f>
        <v>6.5277777777777782E-2</v>
      </c>
    </row>
    <row r="9" spans="1:21" x14ac:dyDescent="0.2">
      <c r="A9" s="111">
        <v>35</v>
      </c>
      <c r="B9" t="s">
        <v>129</v>
      </c>
      <c r="D9">
        <v>10</v>
      </c>
      <c r="E9" t="s">
        <v>334</v>
      </c>
      <c r="H9" s="108"/>
      <c r="J9" s="123" t="s">
        <v>266</v>
      </c>
      <c r="K9" s="320"/>
      <c r="L9" s="126" t="s">
        <v>277</v>
      </c>
      <c r="N9" s="11"/>
      <c r="O9" s="5"/>
    </row>
    <row r="10" spans="1:21" ht="15.75" x14ac:dyDescent="0.25">
      <c r="A10" s="112">
        <f ca="1">TODAY()</f>
        <v>44898</v>
      </c>
      <c r="B10" s="113" t="s">
        <v>147</v>
      </c>
      <c r="H10" s="108"/>
      <c r="J10" s="122" t="s">
        <v>267</v>
      </c>
      <c r="K10" s="319"/>
      <c r="L10" s="125" t="s">
        <v>277</v>
      </c>
      <c r="N10" s="384" t="s">
        <v>737</v>
      </c>
      <c r="O10" s="385"/>
      <c r="Q10" s="386" t="s">
        <v>938</v>
      </c>
      <c r="R10" s="387"/>
      <c r="S10" s="388"/>
      <c r="U10" s="256" t="s">
        <v>912</v>
      </c>
    </row>
    <row r="11" spans="1:21" x14ac:dyDescent="0.2">
      <c r="A11" s="100" t="s">
        <v>130</v>
      </c>
      <c r="H11" s="108"/>
      <c r="J11" s="123" t="s">
        <v>268</v>
      </c>
      <c r="K11" s="320"/>
      <c r="L11" s="126" t="s">
        <v>277</v>
      </c>
      <c r="N11" s="298" t="s">
        <v>738</v>
      </c>
      <c r="O11" s="299" t="s">
        <v>739</v>
      </c>
      <c r="Q11" s="168" t="s">
        <v>238</v>
      </c>
      <c r="R11" s="217"/>
      <c r="S11" s="218">
        <f>SUM('08'!AI35,'09'!AT35,'10'!AT35,'11'!AT35,'12'!AT35,'13'!AT35,'14'!AT35,'15'!AT35,'16'!AT35,'17'!AT35,'18'!AT35)</f>
        <v>76375.41</v>
      </c>
      <c r="U11" s="251">
        <v>0.36805555555555558</v>
      </c>
    </row>
    <row r="12" spans="1:21" x14ac:dyDescent="0.2">
      <c r="A12" s="265">
        <f ca="1">TIME(E16,F16,G16)</f>
        <v>0.46726851851851853</v>
      </c>
      <c r="B12" t="s">
        <v>131</v>
      </c>
      <c r="H12" s="108"/>
      <c r="J12" s="122" t="s">
        <v>269</v>
      </c>
      <c r="K12" s="319"/>
      <c r="L12" s="125" t="s">
        <v>277</v>
      </c>
      <c r="N12" s="118">
        <f>MAX('08'!N40,'09'!N42,'10'!N42,'11'!N42,'12'!N42,'13'!N42,'14'!N42,'15'!N42,'16'!N42)</f>
        <v>82</v>
      </c>
      <c r="O12" s="300">
        <f>N12/G37</f>
        <v>2.7767817296160264</v>
      </c>
      <c r="Q12" s="67" t="s">
        <v>517</v>
      </c>
      <c r="R12" s="212">
        <v>40074</v>
      </c>
      <c r="S12" s="216">
        <f>S11/R12</f>
        <v>1.9058594100913311</v>
      </c>
      <c r="U12" s="251">
        <v>0.29652777777777778</v>
      </c>
    </row>
    <row r="13" spans="1:21" x14ac:dyDescent="0.2">
      <c r="A13" s="265">
        <f ca="1">TIME(E16+1,F16,G16)</f>
        <v>0.50893518518518521</v>
      </c>
      <c r="B13" t="s">
        <v>132</v>
      </c>
      <c r="H13" s="108"/>
      <c r="J13" s="123" t="s">
        <v>270</v>
      </c>
      <c r="K13" s="320"/>
      <c r="L13" s="126" t="s">
        <v>277</v>
      </c>
      <c r="N13" s="389" t="s">
        <v>743</v>
      </c>
      <c r="O13" s="390"/>
      <c r="Q13" s="219" t="s">
        <v>2</v>
      </c>
      <c r="R13" s="220"/>
      <c r="S13" s="221">
        <f>SUM('08'!AJ35,'09'!AU35,'10'!AU35,'11'!AU35,'12'!AU35,'13'!AU35,'14'!AU35,'15'!AU35,'16'!AU35,'17'!AU35,'18'!AU35)</f>
        <v>730749</v>
      </c>
      <c r="U13" s="252">
        <f>U11-U12</f>
        <v>7.1527777777777801E-2</v>
      </c>
    </row>
    <row r="14" spans="1:21" x14ac:dyDescent="0.2">
      <c r="A14" s="265">
        <f ca="1">TIME(E16+2,F16,G16)</f>
        <v>0.55060185185185184</v>
      </c>
      <c r="B14" t="s">
        <v>133</v>
      </c>
      <c r="H14" s="108"/>
      <c r="J14" s="122" t="s">
        <v>271</v>
      </c>
      <c r="K14" s="319"/>
      <c r="L14" s="125" t="s">
        <v>277</v>
      </c>
      <c r="N14" s="301">
        <f>MAX('08'!N41,'09'!N43,'10'!N43,'11'!N43,'12'!N43,'13'!N43,'14'!N43,'15'!N43,'16'!N43)</f>
        <v>18</v>
      </c>
      <c r="O14" s="302">
        <f>N14/G37</f>
        <v>0.60953745284254235</v>
      </c>
      <c r="Q14" s="67" t="s">
        <v>511</v>
      </c>
      <c r="R14" s="49"/>
      <c r="S14" s="215">
        <v>15000</v>
      </c>
    </row>
    <row r="15" spans="1:21" ht="15.75" x14ac:dyDescent="0.25">
      <c r="A15" s="162">
        <f ca="1">(B18-G18)*4</f>
        <v>10.213344094598028</v>
      </c>
      <c r="B15" t="s">
        <v>134</v>
      </c>
      <c r="D15">
        <f>(A9/60+A8)/60+A7</f>
        <v>9.2263888888888896</v>
      </c>
      <c r="E15" t="s">
        <v>135</v>
      </c>
      <c r="H15" s="108"/>
      <c r="J15" s="123" t="s">
        <v>272</v>
      </c>
      <c r="K15" s="320"/>
      <c r="L15" s="126" t="s">
        <v>277</v>
      </c>
      <c r="N15" s="11"/>
      <c r="O15" s="5"/>
      <c r="Q15" s="67" t="s">
        <v>512</v>
      </c>
      <c r="R15" s="49"/>
      <c r="S15" s="215">
        <v>50000</v>
      </c>
      <c r="U15" s="256" t="s">
        <v>603</v>
      </c>
    </row>
    <row r="16" spans="1:21" ht="15.75" x14ac:dyDescent="0.25">
      <c r="A16" s="100" t="s">
        <v>136</v>
      </c>
      <c r="C16" t="s">
        <v>137</v>
      </c>
      <c r="D16">
        <f ca="1">(180-D15)*4-A15</f>
        <v>672.88110034984641</v>
      </c>
      <c r="E16" s="5">
        <f ca="1">INT(D16/60)</f>
        <v>11</v>
      </c>
      <c r="F16" s="5">
        <f ca="1">INT((D16/60-E16)*60)</f>
        <v>12</v>
      </c>
      <c r="G16">
        <f ca="1">(D16-E16*60-F16)*60</f>
        <v>52.866020990784364</v>
      </c>
      <c r="H16" s="108"/>
      <c r="J16" s="122" t="s">
        <v>273</v>
      </c>
      <c r="K16" s="319"/>
      <c r="L16" s="125" t="s">
        <v>277</v>
      </c>
      <c r="N16" s="384" t="s">
        <v>744</v>
      </c>
      <c r="O16" s="385"/>
      <c r="Q16" s="67" t="s">
        <v>513</v>
      </c>
      <c r="R16" s="49"/>
      <c r="S16" s="215">
        <v>80000</v>
      </c>
      <c r="U16" s="254">
        <v>1210</v>
      </c>
    </row>
    <row r="17" spans="1:22" x14ac:dyDescent="0.2">
      <c r="A17" s="114" t="s">
        <v>138</v>
      </c>
      <c r="B17" s="30" t="s">
        <v>139</v>
      </c>
      <c r="C17" s="30" t="s">
        <v>140</v>
      </c>
      <c r="D17" s="30" t="s">
        <v>141</v>
      </c>
      <c r="E17" s="30" t="s">
        <v>142</v>
      </c>
      <c r="F17" s="30" t="s">
        <v>143</v>
      </c>
      <c r="G17" s="30" t="s">
        <v>144</v>
      </c>
      <c r="H17" s="108"/>
      <c r="J17" s="124" t="s">
        <v>274</v>
      </c>
      <c r="K17" s="321"/>
      <c r="L17" s="127" t="s">
        <v>277</v>
      </c>
      <c r="N17" s="296" t="s">
        <v>238</v>
      </c>
      <c r="O17" s="297" t="s">
        <v>2</v>
      </c>
      <c r="Q17" s="67" t="s">
        <v>514</v>
      </c>
      <c r="R17" s="49"/>
      <c r="S17" s="215">
        <v>500000</v>
      </c>
      <c r="U17" s="254">
        <v>1680</v>
      </c>
    </row>
    <row r="18" spans="1:22" x14ac:dyDescent="0.2">
      <c r="A18" s="115">
        <f ca="1">280.46+0.9856474*(A10-36526)</f>
        <v>8532.300032799998</v>
      </c>
      <c r="B18" s="116">
        <f ca="1">A18-(INT(A18/360))*360</f>
        <v>252.30003279999801</v>
      </c>
      <c r="C18" s="116">
        <f ca="1">357.528+0.9856003*(A10-36526)</f>
        <v>8608.9737115999997</v>
      </c>
      <c r="D18" s="116">
        <f ca="1">C18-(INT(C18/360))*360</f>
        <v>328.97371159999966</v>
      </c>
      <c r="E18" s="116">
        <f ca="1">B18+1.915*SIN(D18*PI()/180)+0.02*SIN(D18*PI()/90)</f>
        <v>251.29531428954994</v>
      </c>
      <c r="F18" s="116">
        <f ca="1">TAN((23.439-0.0000004*(A10-36526))*PI()/360)</f>
        <v>0.20741452334002924</v>
      </c>
      <c r="G18" s="116">
        <f ca="1">E18-(POWER(F18,2))*(SIN(E18*PI()/90))*180/PI()+(POWER(F18,4))*(SIN(E18*PI()/45))*90/PI()</f>
        <v>249.7466967763485</v>
      </c>
      <c r="H18" s="117"/>
      <c r="J18" s="288" t="s">
        <v>275</v>
      </c>
      <c r="K18" s="287">
        <f>K5-K4+K7-K6+K9-K8+K11-K10+K13-K12+K15-K14+K17-K16</f>
        <v>1475</v>
      </c>
      <c r="L18" s="289" t="s">
        <v>277</v>
      </c>
      <c r="N18" s="303">
        <f>S4/12</f>
        <v>676.15749999999991</v>
      </c>
      <c r="O18" s="167">
        <f>S5/12</f>
        <v>7438.583333333333</v>
      </c>
      <c r="Q18" s="67" t="s">
        <v>515</v>
      </c>
      <c r="R18" s="49"/>
      <c r="S18" s="215">
        <v>10000000</v>
      </c>
      <c r="U18" s="255">
        <f>(U16+U17)/2</f>
        <v>1445</v>
      </c>
    </row>
    <row r="19" spans="1:22" x14ac:dyDescent="0.2">
      <c r="J19" s="191"/>
      <c r="K19" s="304"/>
      <c r="L19" s="191"/>
      <c r="N19" s="165"/>
      <c r="O19" s="165"/>
      <c r="Q19" s="232" t="s">
        <v>516</v>
      </c>
      <c r="R19" s="233"/>
      <c r="S19" s="234" t="s">
        <v>573</v>
      </c>
    </row>
    <row r="20" spans="1:22" ht="15.75" x14ac:dyDescent="0.25">
      <c r="U20" s="256" t="s">
        <v>806</v>
      </c>
    </row>
    <row r="21" spans="1:22" ht="15.75" x14ac:dyDescent="0.25">
      <c r="A21" s="386" t="s">
        <v>439</v>
      </c>
      <c r="B21" s="387"/>
      <c r="C21" s="387"/>
      <c r="D21" s="387"/>
      <c r="E21" s="387"/>
      <c r="F21" s="387"/>
      <c r="G21" s="387"/>
      <c r="H21" s="388"/>
      <c r="J21" s="386" t="s">
        <v>559</v>
      </c>
      <c r="K21" s="387"/>
      <c r="L21" s="387"/>
      <c r="M21" s="387"/>
      <c r="N21" s="387"/>
      <c r="O21" s="388"/>
      <c r="Q21" s="386" t="s">
        <v>371</v>
      </c>
      <c r="R21" s="387"/>
      <c r="S21" s="388"/>
      <c r="U21" s="260">
        <v>3.06</v>
      </c>
    </row>
    <row r="22" spans="1:22" x14ac:dyDescent="0.2">
      <c r="A22" s="118"/>
      <c r="B22" s="2"/>
      <c r="C22" s="12"/>
      <c r="D22" s="5" t="s">
        <v>233</v>
      </c>
      <c r="E22" s="2">
        <v>4.1666666666666664E-2</v>
      </c>
      <c r="H22" s="108"/>
      <c r="J22" s="100" t="s">
        <v>291</v>
      </c>
      <c r="K22" s="41" t="s">
        <v>947</v>
      </c>
      <c r="L22" s="171" t="s">
        <v>292</v>
      </c>
      <c r="M22" s="171" t="s">
        <v>293</v>
      </c>
      <c r="N22" s="171" t="s">
        <v>391</v>
      </c>
      <c r="O22" s="141" t="s">
        <v>750</v>
      </c>
      <c r="Q22" s="154" t="s">
        <v>369</v>
      </c>
      <c r="R22" s="155" t="s">
        <v>370</v>
      </c>
      <c r="S22" s="156" t="s">
        <v>306</v>
      </c>
      <c r="U22" s="260">
        <v>1.54</v>
      </c>
    </row>
    <row r="23" spans="1:22" x14ac:dyDescent="0.2">
      <c r="A23" s="273" t="s">
        <v>0</v>
      </c>
      <c r="B23" s="275" t="s">
        <v>234</v>
      </c>
      <c r="C23" s="238" t="s">
        <v>237</v>
      </c>
      <c r="D23" s="5" t="s">
        <v>239</v>
      </c>
      <c r="E23" s="2" t="s">
        <v>235</v>
      </c>
      <c r="F23" t="s">
        <v>775</v>
      </c>
      <c r="G23" t="s">
        <v>776</v>
      </c>
      <c r="H23" s="108"/>
      <c r="J23" s="142">
        <v>1</v>
      </c>
      <c r="K23" t="s">
        <v>91</v>
      </c>
      <c r="L23" s="138">
        <v>0.34027777777777773</v>
      </c>
      <c r="M23" s="138">
        <v>0.70833333333333337</v>
      </c>
      <c r="N23" s="138">
        <f>M23-L23</f>
        <v>0.36805555555555564</v>
      </c>
      <c r="O23" s="108" t="s">
        <v>294</v>
      </c>
      <c r="Q23" s="114"/>
      <c r="R23" s="30"/>
      <c r="S23" s="157"/>
      <c r="U23" s="231">
        <f>U21-U22</f>
        <v>1.52</v>
      </c>
    </row>
    <row r="24" spans="1:22" x14ac:dyDescent="0.2">
      <c r="A24" s="273">
        <v>0.1076388888888889</v>
      </c>
      <c r="B24" s="11">
        <v>66</v>
      </c>
      <c r="C24" s="238">
        <f>B24*E22/A24</f>
        <v>25.548387096774192</v>
      </c>
      <c r="D24" s="5">
        <v>80</v>
      </c>
      <c r="E24" s="2">
        <f>B24/D24*E22</f>
        <v>3.4374999999999996E-2</v>
      </c>
      <c r="F24" s="11">
        <v>20</v>
      </c>
      <c r="G24" s="2">
        <f>(A24*F24)/B24</f>
        <v>3.2617845117845115E-2</v>
      </c>
      <c r="H24" s="108"/>
      <c r="J24" s="142">
        <v>2</v>
      </c>
      <c r="K24" t="s">
        <v>94</v>
      </c>
      <c r="L24" s="138">
        <v>0.30902777777777779</v>
      </c>
      <c r="M24" s="138">
        <v>0.74652777777777779</v>
      </c>
      <c r="N24" s="138">
        <f t="shared" ref="N24:N34" si="0">M24-L24</f>
        <v>0.4375</v>
      </c>
      <c r="O24" s="108" t="s">
        <v>294</v>
      </c>
      <c r="Q24" s="158">
        <f ca="1">TODAY()</f>
        <v>44898</v>
      </c>
      <c r="R24" s="159">
        <v>40350</v>
      </c>
      <c r="S24" s="160">
        <f ca="1">R24+(R24-Q24)</f>
        <v>35802</v>
      </c>
    </row>
    <row r="25" spans="1:22" ht="15.75" x14ac:dyDescent="0.25">
      <c r="A25" s="273">
        <v>0.19583333333333333</v>
      </c>
      <c r="B25" s="11">
        <v>501</v>
      </c>
      <c r="C25" s="238">
        <f>B25*E22/A25</f>
        <v>106.59574468085107</v>
      </c>
      <c r="D25" s="5">
        <v>80</v>
      </c>
      <c r="E25" s="2">
        <f>B25/D25*E22</f>
        <v>0.26093749999999999</v>
      </c>
      <c r="F25" s="11">
        <v>0</v>
      </c>
      <c r="G25" s="2">
        <f t="shared" ref="G25:G27" si="1">(A25*F25)/B25</f>
        <v>0</v>
      </c>
      <c r="H25" s="108"/>
      <c r="J25" s="142">
        <v>3</v>
      </c>
      <c r="K25" t="s">
        <v>95</v>
      </c>
      <c r="L25" s="138">
        <v>0.2673611111111111</v>
      </c>
      <c r="M25" s="138">
        <v>0.77777777777777779</v>
      </c>
      <c r="N25" s="138">
        <f t="shared" si="0"/>
        <v>0.51041666666666674</v>
      </c>
      <c r="O25" s="108" t="s">
        <v>294</v>
      </c>
      <c r="U25" s="256" t="s">
        <v>602</v>
      </c>
    </row>
    <row r="26" spans="1:22" ht="15.75" x14ac:dyDescent="0.25">
      <c r="A26" s="273">
        <v>0.28819444444444448</v>
      </c>
      <c r="B26" s="11">
        <v>526</v>
      </c>
      <c r="C26" s="238">
        <f>B26*E22/A26</f>
        <v>76.048192771084317</v>
      </c>
      <c r="D26" s="5">
        <v>80</v>
      </c>
      <c r="E26" s="2">
        <f>B26/D26*E22</f>
        <v>0.2739583333333333</v>
      </c>
      <c r="F26" s="11">
        <v>0</v>
      </c>
      <c r="G26" s="2">
        <f t="shared" si="1"/>
        <v>0</v>
      </c>
      <c r="H26" s="108"/>
      <c r="J26" s="142">
        <v>4</v>
      </c>
      <c r="K26" t="s">
        <v>96</v>
      </c>
      <c r="L26" s="138">
        <v>0.2638888888888889</v>
      </c>
      <c r="M26" s="138">
        <v>0.85416666666666663</v>
      </c>
      <c r="N26" s="138">
        <f t="shared" si="0"/>
        <v>0.59027777777777768</v>
      </c>
      <c r="O26" s="108" t="s">
        <v>295</v>
      </c>
      <c r="Q26" s="386" t="s">
        <v>532</v>
      </c>
      <c r="R26" s="387"/>
      <c r="S26" s="388"/>
      <c r="U26" s="260">
        <v>12</v>
      </c>
    </row>
    <row r="27" spans="1:22" x14ac:dyDescent="0.2">
      <c r="A27" s="274">
        <v>2.8472222222222222E-2</v>
      </c>
      <c r="B27" s="145">
        <v>20</v>
      </c>
      <c r="C27" s="240">
        <f>B27*E22/A27</f>
        <v>29.268292682926827</v>
      </c>
      <c r="D27" s="121">
        <v>80</v>
      </c>
      <c r="E27" s="120">
        <f>B27/D27*E22</f>
        <v>1.0416666666666666E-2</v>
      </c>
      <c r="F27" s="145">
        <v>0</v>
      </c>
      <c r="G27" s="2">
        <f t="shared" si="1"/>
        <v>0</v>
      </c>
      <c r="H27" s="117"/>
      <c r="J27" s="142">
        <v>5</v>
      </c>
      <c r="K27" t="s">
        <v>97</v>
      </c>
      <c r="L27" s="138">
        <v>0.22916666666666666</v>
      </c>
      <c r="M27" s="138">
        <v>0.88541666666666663</v>
      </c>
      <c r="N27" s="138">
        <f t="shared" si="0"/>
        <v>0.65625</v>
      </c>
      <c r="O27" s="108" t="s">
        <v>295</v>
      </c>
      <c r="Q27" s="162" t="s">
        <v>238</v>
      </c>
      <c r="R27" s="113" t="s">
        <v>2</v>
      </c>
      <c r="S27" s="206" t="s">
        <v>528</v>
      </c>
      <c r="U27" s="260">
        <v>12.3</v>
      </c>
    </row>
    <row r="28" spans="1:22" ht="15" x14ac:dyDescent="0.25">
      <c r="A28" s="235" t="s">
        <v>234</v>
      </c>
      <c r="B28" s="239" t="s">
        <v>237</v>
      </c>
      <c r="C28" s="242" t="s">
        <v>0</v>
      </c>
      <c r="D28" s="237"/>
      <c r="E28" s="236" t="s">
        <v>0</v>
      </c>
      <c r="F28" s="229" t="s">
        <v>237</v>
      </c>
      <c r="G28" s="229" t="s">
        <v>234</v>
      </c>
      <c r="H28" s="230"/>
      <c r="J28" s="142">
        <v>6</v>
      </c>
      <c r="K28" t="s">
        <v>98</v>
      </c>
      <c r="L28" s="138">
        <v>0.21875</v>
      </c>
      <c r="M28" s="138">
        <v>0.90277777777777779</v>
      </c>
      <c r="N28" s="138">
        <f t="shared" si="0"/>
        <v>0.68402777777777779</v>
      </c>
      <c r="O28" s="108" t="s">
        <v>295</v>
      </c>
      <c r="Q28" s="225">
        <v>3.4</v>
      </c>
      <c r="R28" s="226">
        <v>230</v>
      </c>
      <c r="S28" s="227">
        <f>R28/(Q28*1000)</f>
        <v>6.7647058823529407E-2</v>
      </c>
      <c r="U28" s="231">
        <f>(U26+U27)/2</f>
        <v>12.15</v>
      </c>
    </row>
    <row r="29" spans="1:22" x14ac:dyDescent="0.2">
      <c r="A29" s="131">
        <v>50.4</v>
      </c>
      <c r="B29" s="238">
        <v>23</v>
      </c>
      <c r="C29" s="241">
        <f>(A29/B29)*E22</f>
        <v>9.1304347826086943E-2</v>
      </c>
      <c r="D29" s="5"/>
      <c r="E29" s="2">
        <v>0.15277777777777776</v>
      </c>
      <c r="F29" s="12">
        <v>11.5</v>
      </c>
      <c r="G29" s="11">
        <v>42</v>
      </c>
      <c r="H29" s="108"/>
      <c r="J29" s="142">
        <v>7</v>
      </c>
      <c r="K29" t="s">
        <v>99</v>
      </c>
      <c r="L29" s="138">
        <v>0.23611111111111113</v>
      </c>
      <c r="M29" s="138">
        <v>0.89236111111111116</v>
      </c>
      <c r="N29" s="138">
        <f t="shared" si="0"/>
        <v>0.65625</v>
      </c>
      <c r="O29" s="108" t="s">
        <v>295</v>
      </c>
      <c r="Q29" s="222">
        <v>14.7</v>
      </c>
      <c r="R29" s="24" t="s">
        <v>531</v>
      </c>
      <c r="S29" s="223">
        <v>7.2999999999999995E-2</v>
      </c>
    </row>
    <row r="30" spans="1:22" ht="15.75" x14ac:dyDescent="0.25">
      <c r="A30" s="132">
        <v>25.6</v>
      </c>
      <c r="B30" s="240">
        <v>12</v>
      </c>
      <c r="C30" s="243">
        <f>(A30/B30)*E22</f>
        <v>8.8888888888888878E-2</v>
      </c>
      <c r="D30" s="116"/>
      <c r="E30" s="120">
        <v>0.125</v>
      </c>
      <c r="F30" s="119">
        <v>6</v>
      </c>
      <c r="G30" s="145">
        <f>F30*E30/E22</f>
        <v>18</v>
      </c>
      <c r="H30" s="117"/>
      <c r="J30" s="142">
        <v>8</v>
      </c>
      <c r="K30" t="s">
        <v>100</v>
      </c>
      <c r="L30" s="138">
        <v>0.2673611111111111</v>
      </c>
      <c r="M30" s="138">
        <v>0.85416666666666663</v>
      </c>
      <c r="N30" s="138">
        <f t="shared" si="0"/>
        <v>0.58680555555555558</v>
      </c>
      <c r="O30" s="108" t="s">
        <v>295</v>
      </c>
      <c r="Q30" s="222">
        <v>12</v>
      </c>
      <c r="R30" s="24">
        <v>1</v>
      </c>
      <c r="S30" s="223">
        <v>6.7000000000000004E-2</v>
      </c>
      <c r="U30" s="256" t="s">
        <v>640</v>
      </c>
    </row>
    <row r="31" spans="1:22" ht="15" x14ac:dyDescent="0.25">
      <c r="A31" s="11"/>
      <c r="B31" s="12"/>
      <c r="C31" s="2"/>
      <c r="J31" s="142">
        <v>9</v>
      </c>
      <c r="K31" t="s">
        <v>101</v>
      </c>
      <c r="L31" s="138">
        <v>0.2986111111111111</v>
      </c>
      <c r="M31" s="138">
        <v>0.80902777777777779</v>
      </c>
      <c r="N31" s="138">
        <f t="shared" si="0"/>
        <v>0.51041666666666674</v>
      </c>
      <c r="O31" s="108" t="s">
        <v>295</v>
      </c>
      <c r="Q31" s="222">
        <v>9.1999999999999993</v>
      </c>
      <c r="R31" s="24">
        <v>2</v>
      </c>
      <c r="S31" s="223">
        <v>5.2999999999999999E-2</v>
      </c>
      <c r="U31" s="326">
        <v>44892</v>
      </c>
      <c r="V31" s="155" t="s">
        <v>939</v>
      </c>
    </row>
    <row r="32" spans="1:22" ht="15.75" x14ac:dyDescent="0.25">
      <c r="A32" s="386" t="s">
        <v>533</v>
      </c>
      <c r="B32" s="387"/>
      <c r="C32" s="387"/>
      <c r="D32" s="387"/>
      <c r="E32" s="387"/>
      <c r="F32" s="387"/>
      <c r="G32" s="387"/>
      <c r="H32" s="388"/>
      <c r="J32" s="142">
        <v>10</v>
      </c>
      <c r="K32" t="s">
        <v>102</v>
      </c>
      <c r="L32" s="138">
        <v>0.3298611111111111</v>
      </c>
      <c r="M32" s="138">
        <v>0.76388888888888884</v>
      </c>
      <c r="N32" s="138">
        <f t="shared" si="0"/>
        <v>0.43402777777777773</v>
      </c>
      <c r="O32" s="108" t="s">
        <v>295</v>
      </c>
      <c r="Q32" s="222">
        <v>3.2</v>
      </c>
      <c r="R32" s="24">
        <v>3</v>
      </c>
      <c r="S32" s="223">
        <v>5.0999999999999997E-2</v>
      </c>
      <c r="U32" s="327">
        <v>45011</v>
      </c>
      <c r="V32" s="328">
        <f>DATE(YEAR(U32),MONTH(U32)+8,DAY(U32))</f>
        <v>45256</v>
      </c>
    </row>
    <row r="33" spans="1:21" x14ac:dyDescent="0.2">
      <c r="A33" s="162" t="s">
        <v>0</v>
      </c>
      <c r="B33" s="395">
        <f>(F33/'09'!C39)*'09'!D39</f>
        <v>8.1527777777777768</v>
      </c>
      <c r="C33" s="395"/>
      <c r="D33" s="395"/>
      <c r="E33" s="113" t="s">
        <v>238</v>
      </c>
      <c r="F33" s="244">
        <f>'09'!AV35+'10'!AV35+'11'!AV35+'12'!AV35+'13'!AV35+'14'!AV35+'15'!AV35+'16'!AV35+'17'!AV35+'18'!AV35</f>
        <v>4696</v>
      </c>
      <c r="G33" s="57" t="s">
        <v>237</v>
      </c>
      <c r="H33" s="245">
        <f>'09'!C39</f>
        <v>24</v>
      </c>
      <c r="J33" s="142">
        <v>11</v>
      </c>
      <c r="K33" t="s">
        <v>103</v>
      </c>
      <c r="L33" s="138">
        <v>0.3263888888888889</v>
      </c>
      <c r="M33" s="138">
        <v>0.69097222222222221</v>
      </c>
      <c r="N33" s="138">
        <f t="shared" si="0"/>
        <v>0.36458333333333331</v>
      </c>
      <c r="O33" s="108" t="s">
        <v>294</v>
      </c>
      <c r="Q33" s="222">
        <v>1</v>
      </c>
      <c r="R33" s="24">
        <v>4</v>
      </c>
      <c r="S33" s="223">
        <v>4.2000000000000003E-2</v>
      </c>
      <c r="U33" s="316"/>
    </row>
    <row r="34" spans="1:21" ht="15.75" x14ac:dyDescent="0.25">
      <c r="A34" s="246" t="s">
        <v>576</v>
      </c>
      <c r="B34" s="247"/>
      <c r="C34" s="247"/>
      <c r="D34" s="247">
        <v>886</v>
      </c>
      <c r="E34" s="248" t="s">
        <v>238</v>
      </c>
      <c r="F34" s="248" t="s">
        <v>575</v>
      </c>
      <c r="G34" s="249">
        <f>F33/D34</f>
        <v>5.3002257336343117</v>
      </c>
      <c r="H34" s="250" t="s">
        <v>574</v>
      </c>
      <c r="J34" s="143">
        <v>12</v>
      </c>
      <c r="K34" s="116" t="s">
        <v>104</v>
      </c>
      <c r="L34" s="139">
        <v>0.34722222222222227</v>
      </c>
      <c r="M34" s="139">
        <v>0.68402777777777779</v>
      </c>
      <c r="N34" s="139">
        <f t="shared" si="0"/>
        <v>0.33680555555555552</v>
      </c>
      <c r="O34" s="117" t="s">
        <v>294</v>
      </c>
      <c r="Q34" s="392"/>
      <c r="R34" s="393"/>
      <c r="S34" s="394"/>
      <c r="U34" s="256" t="s">
        <v>813</v>
      </c>
    </row>
    <row r="35" spans="1:21" x14ac:dyDescent="0.2">
      <c r="U35" s="260">
        <v>0.5</v>
      </c>
    </row>
    <row r="36" spans="1:21" ht="15.75" x14ac:dyDescent="0.25">
      <c r="A36" s="386" t="s">
        <v>741</v>
      </c>
      <c r="B36" s="387"/>
      <c r="C36" s="387"/>
      <c r="D36" s="387"/>
      <c r="E36" s="387"/>
      <c r="F36" s="387"/>
      <c r="G36" s="387"/>
      <c r="H36" s="388"/>
      <c r="J36" s="386" t="s">
        <v>835</v>
      </c>
      <c r="K36" s="387"/>
      <c r="L36" s="387"/>
      <c r="M36" s="388"/>
      <c r="U36" s="260">
        <v>10</v>
      </c>
    </row>
    <row r="37" spans="1:21" ht="15" x14ac:dyDescent="0.25">
      <c r="A37" s="162" t="s">
        <v>740</v>
      </c>
      <c r="G37">
        <v>29.530588999999999</v>
      </c>
      <c r="H37" s="206" t="s">
        <v>742</v>
      </c>
      <c r="J37" s="100" t="s">
        <v>238</v>
      </c>
      <c r="K37" s="113" t="s">
        <v>833</v>
      </c>
      <c r="L37" s="113" t="s">
        <v>834</v>
      </c>
      <c r="M37" s="206" t="s">
        <v>22</v>
      </c>
      <c r="U37" s="317">
        <v>18.100000000000001</v>
      </c>
    </row>
    <row r="38" spans="1:21" x14ac:dyDescent="0.2">
      <c r="A38" s="100"/>
      <c r="H38" s="108"/>
      <c r="J38" s="131">
        <v>1.5</v>
      </c>
      <c r="K38" s="5">
        <v>1171</v>
      </c>
      <c r="L38" s="5">
        <v>1380</v>
      </c>
      <c r="M38" s="223">
        <f>IFERROR((L38-K38)/(J38*1000),0)</f>
        <v>0.13933333333333334</v>
      </c>
      <c r="U38" s="260">
        <f>(U37/U36)*U35</f>
        <v>0.90500000000000003</v>
      </c>
    </row>
    <row r="39" spans="1:21" ht="15" x14ac:dyDescent="0.25">
      <c r="A39" s="100"/>
      <c r="H39" s="108"/>
      <c r="J39" s="131">
        <v>1.6</v>
      </c>
      <c r="K39" s="5">
        <v>1035</v>
      </c>
      <c r="L39" s="5">
        <v>1129</v>
      </c>
      <c r="M39" s="223">
        <f t="shared" ref="M39:M40" si="2">IFERROR((L39-K39)/(J39*1000),0)</f>
        <v>5.8749999999999997E-2</v>
      </c>
      <c r="U39" s="318">
        <f>U37+U38</f>
        <v>19.005000000000003</v>
      </c>
    </row>
    <row r="40" spans="1:21" x14ac:dyDescent="0.2">
      <c r="A40" s="115"/>
      <c r="B40" s="116"/>
      <c r="C40" s="116"/>
      <c r="D40" s="116"/>
      <c r="E40" s="116"/>
      <c r="F40" s="116"/>
      <c r="G40" s="116"/>
      <c r="H40" s="117"/>
      <c r="J40" s="132">
        <v>1.1000000000000001</v>
      </c>
      <c r="K40" s="121">
        <v>1616</v>
      </c>
      <c r="L40" s="121">
        <v>1745</v>
      </c>
      <c r="M40" s="324">
        <f t="shared" si="2"/>
        <v>0.11727272727272728</v>
      </c>
    </row>
  </sheetData>
  <sortState xmlns:xlrd2="http://schemas.microsoft.com/office/spreadsheetml/2017/richdata2" ref="A34:K47">
    <sortCondition ref="D34:D47"/>
  </sortState>
  <mergeCells count="19"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  <mergeCell ref="N16:O16"/>
    <mergeCell ref="Q10:S10"/>
    <mergeCell ref="N6:O6"/>
    <mergeCell ref="J36:M36"/>
    <mergeCell ref="A36:H36"/>
    <mergeCell ref="N10:O10"/>
    <mergeCell ref="N13:O13"/>
  </mergeCells>
  <conditionalFormatting sqref="L23:L34">
    <cfRule type="expression" dxfId="18" priority="67">
      <formula>J23=MONTH(NOW())</formula>
    </cfRule>
  </conditionalFormatting>
  <conditionalFormatting sqref="M23:M34">
    <cfRule type="expression" dxfId="17" priority="66">
      <formula>J23=MONTH(NOW())</formula>
    </cfRule>
  </conditionalFormatting>
  <conditionalFormatting sqref="N23:N34">
    <cfRule type="cellIs" dxfId="16" priority="35" operator="greaterThan">
      <formula>0.5</formula>
    </cfRule>
    <cfRule type="expression" dxfId="15" priority="36">
      <formula>J23=MONTH(NOW())</formula>
    </cfRule>
  </conditionalFormatting>
  <conditionalFormatting sqref="Q14:S14">
    <cfRule type="expression" dxfId="14" priority="29">
      <formula>AND($S$14&gt;=$S$13,$S$13&lt;50000)</formula>
    </cfRule>
  </conditionalFormatting>
  <conditionalFormatting sqref="Q15:S15">
    <cfRule type="expression" dxfId="13" priority="28">
      <formula>AND($S$15&gt;=$S$13,$S$13&lt;80000)</formula>
    </cfRule>
  </conditionalFormatting>
  <conditionalFormatting sqref="Q16:S16">
    <cfRule type="expression" dxfId="12" priority="27">
      <formula>AND($S$15&lt;$S$13,$S$16&gt;=$S$13)</formula>
    </cfRule>
  </conditionalFormatting>
  <conditionalFormatting sqref="Q17:S17">
    <cfRule type="expression" dxfId="11" priority="26">
      <formula>AND($S$16&lt;$S$13,$S$18&lt;$S$13)</formula>
    </cfRule>
  </conditionalFormatting>
  <conditionalFormatting sqref="Q18:S18">
    <cfRule type="expression" dxfId="10" priority="24">
      <formula>AND($S$17&lt;$S$13,10000000&gt;$S$13)</formula>
    </cfRule>
  </conditionalFormatting>
  <conditionalFormatting sqref="Q19:S19">
    <cfRule type="expression" dxfId="9" priority="23">
      <formula>$S$13&gt;=10000000</formula>
    </cfRule>
  </conditionalFormatting>
  <conditionalFormatting sqref="S12">
    <cfRule type="cellIs" dxfId="8" priority="20" stopIfTrue="1" operator="between">
      <formula>0</formula>
      <formula>0.999999</formula>
    </cfRule>
    <cfRule type="cellIs" dxfId="7" priority="21" stopIfTrue="1" operator="between">
      <formula>1</formula>
      <formula>1.999999</formula>
    </cfRule>
    <cfRule type="cellIs" dxfId="6" priority="22" stopIfTrue="1" operator="between">
      <formula>2</formula>
      <formula>9999.99</formula>
    </cfRule>
  </conditionalFormatting>
  <conditionalFormatting sqref="F4">
    <cfRule type="expression" dxfId="5" priority="9">
      <formula>AND(MONTH(NOW())&gt;3,MONTH(NOW())&lt;11)</formula>
    </cfRule>
  </conditionalFormatting>
  <conditionalFormatting sqref="D4">
    <cfRule type="expression" dxfId="4" priority="8">
      <formula>"ODER(MONAT(JETZT())&lt;4;MONAT(JETZT())&gt;10)"</formula>
    </cfRule>
  </conditionalFormatting>
  <conditionalFormatting sqref="U33">
    <cfRule type="expression" dxfId="3" priority="2">
      <formula>#REF!&lt; TODAY()</formula>
    </cfRule>
  </conditionalFormatting>
  <conditionalFormatting sqref="A13 E4">
    <cfRule type="expression" dxfId="2" priority="661">
      <formula>AND($U$31&lt;=NOW(),$U$32&gt;=NOW())</formula>
    </cfRule>
  </conditionalFormatting>
  <conditionalFormatting sqref="A14 G4">
    <cfRule type="expression" dxfId="1" priority="663">
      <formula>NOT(AND($U$31&lt;=NOW(),$U$32&gt;=NOW()))</formula>
    </cfRule>
  </conditionalFormatting>
  <conditionalFormatting sqref="V32">
    <cfRule type="cellIs" dxfId="0" priority="1" operator="lessThanOrEqual">
      <formula>$A$10</formula>
    </cfRule>
  </conditionalFormatting>
  <hyperlinks>
    <hyperlink ref="E5" r:id="rId1" tooltip="Normalstartpunkt für Touren ohne Anfahrt" xr:uid="{00000000-0004-0000-1E00-000000000000}"/>
    <hyperlink ref="O22" r:id="rId2" xr:uid="{00000000-0004-0000-1E00-000001000000}"/>
  </hyperlinks>
  <pageMargins left="0.7" right="0.7" top="0.78740157499999996" bottom="0.78740157499999996" header="0.3" footer="0.3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56" customFormat="1" ht="18" x14ac:dyDescent="0.25">
      <c r="A1" s="353" t="s">
        <v>238</v>
      </c>
      <c r="B1" s="353"/>
      <c r="C1" s="354">
        <f>AI35</f>
        <v>7508.340000000002</v>
      </c>
      <c r="D1" s="354"/>
      <c r="E1" s="340" t="s">
        <v>152</v>
      </c>
      <c r="F1" s="340"/>
      <c r="G1" s="341">
        <f>MAX(B37,E37,H37,K37,N37,Q37,T37,W37,Z37,AC37,AF37,AI37)</f>
        <v>207</v>
      </c>
      <c r="H1" s="341"/>
      <c r="I1" s="344" t="s">
        <v>159</v>
      </c>
      <c r="J1" s="344"/>
      <c r="K1" s="345">
        <f>MAX(B34,E34,H34,K34,N34,Q34,T34,W34,Z34,AC34,AF34,AI34)</f>
        <v>1014.3200000000002</v>
      </c>
      <c r="L1" s="345"/>
      <c r="M1" s="349" t="s">
        <v>190</v>
      </c>
      <c r="N1" s="349"/>
      <c r="O1" s="350">
        <f>MIN(B34,E34,H34,K34,N34,Q34,T34,W34,Z34,AC34,AF34,AI34)</f>
        <v>319.42</v>
      </c>
      <c r="P1" s="350"/>
      <c r="Q1" s="348" t="s">
        <v>329</v>
      </c>
      <c r="R1" s="348"/>
      <c r="S1" s="348"/>
      <c r="T1" s="348"/>
      <c r="U1" s="351" t="s">
        <v>190</v>
      </c>
      <c r="V1" s="351"/>
      <c r="W1" s="352">
        <f>MIN(C34,F34,I34,L34,O34,R34,U34,X34,AA34,AD34,AG34,AJ34)</f>
        <v>717</v>
      </c>
      <c r="X1" s="351"/>
      <c r="Y1" s="347" t="s">
        <v>159</v>
      </c>
      <c r="Z1" s="347"/>
      <c r="AA1" s="346">
        <f>MAX(C34,F34,I34,L34,O34,R34,U34,X34,AA34,AD34,AG34,AJ34)</f>
        <v>11209</v>
      </c>
      <c r="AB1" s="347"/>
      <c r="AC1" s="342" t="s">
        <v>153</v>
      </c>
      <c r="AD1" s="342"/>
      <c r="AE1" s="343">
        <f>MAX(C37,F37,I37,L37,O37,R37,U37,X37,AA37,AD37,AG37,AJ37)</f>
        <v>1750</v>
      </c>
      <c r="AF1" s="342"/>
      <c r="AG1" s="339" t="s">
        <v>2</v>
      </c>
      <c r="AH1" s="339"/>
      <c r="AI1" s="338">
        <f>AJ35</f>
        <v>70300</v>
      </c>
      <c r="AJ1" s="339"/>
      <c r="AK1" s="90"/>
    </row>
    <row r="2" spans="1:37" s="53" customFormat="1" ht="11.25" x14ac:dyDescent="0.2">
      <c r="A2" s="58" t="s">
        <v>91</v>
      </c>
      <c r="B2" s="44" t="s">
        <v>238</v>
      </c>
      <c r="C2" s="44" t="s">
        <v>2</v>
      </c>
      <c r="D2" s="64" t="s">
        <v>94</v>
      </c>
      <c r="E2" s="44" t="s">
        <v>238</v>
      </c>
      <c r="F2" s="44" t="s">
        <v>2</v>
      </c>
      <c r="G2" s="64" t="s">
        <v>95</v>
      </c>
      <c r="H2" s="44" t="s">
        <v>238</v>
      </c>
      <c r="I2" s="44" t="s">
        <v>2</v>
      </c>
      <c r="J2" s="64" t="s">
        <v>96</v>
      </c>
      <c r="K2" s="44" t="s">
        <v>238</v>
      </c>
      <c r="L2" s="44" t="s">
        <v>2</v>
      </c>
      <c r="M2" s="64" t="s">
        <v>97</v>
      </c>
      <c r="N2" s="44" t="s">
        <v>238</v>
      </c>
      <c r="O2" s="44" t="s">
        <v>2</v>
      </c>
      <c r="P2" s="64" t="s">
        <v>98</v>
      </c>
      <c r="Q2" s="44" t="s">
        <v>238</v>
      </c>
      <c r="R2" s="44" t="s">
        <v>2</v>
      </c>
      <c r="S2" s="64" t="s">
        <v>99</v>
      </c>
      <c r="T2" s="44" t="s">
        <v>238</v>
      </c>
      <c r="U2" s="44" t="s">
        <v>2</v>
      </c>
      <c r="V2" s="64" t="s">
        <v>100</v>
      </c>
      <c r="W2" s="44" t="s">
        <v>238</v>
      </c>
      <c r="X2" s="44" t="s">
        <v>2</v>
      </c>
      <c r="Y2" s="64" t="s">
        <v>101</v>
      </c>
      <c r="Z2" s="44" t="s">
        <v>238</v>
      </c>
      <c r="AA2" s="44" t="s">
        <v>2</v>
      </c>
      <c r="AB2" s="64" t="s">
        <v>102</v>
      </c>
      <c r="AC2" s="44" t="s">
        <v>238</v>
      </c>
      <c r="AD2" s="44" t="s">
        <v>2</v>
      </c>
      <c r="AE2" s="64" t="s">
        <v>103</v>
      </c>
      <c r="AF2" s="44" t="s">
        <v>238</v>
      </c>
      <c r="AG2" s="44" t="s">
        <v>2</v>
      </c>
      <c r="AH2" s="64" t="s">
        <v>104</v>
      </c>
      <c r="AI2" s="44" t="s">
        <v>238</v>
      </c>
      <c r="AJ2" s="44" t="s">
        <v>2</v>
      </c>
      <c r="AK2" s="91"/>
    </row>
    <row r="3" spans="1:37" s="49" customFormat="1" ht="11.25" x14ac:dyDescent="0.2">
      <c r="A3" s="73">
        <v>1</v>
      </c>
      <c r="B3" s="54">
        <v>12.31</v>
      </c>
      <c r="C3" s="55">
        <v>25</v>
      </c>
      <c r="D3" s="75">
        <v>1</v>
      </c>
      <c r="E3" s="54"/>
      <c r="F3" s="55"/>
      <c r="G3" s="75">
        <v>1</v>
      </c>
      <c r="H3" s="54"/>
      <c r="I3" s="55"/>
      <c r="J3" s="75">
        <v>1</v>
      </c>
      <c r="K3" s="54">
        <v>15.77</v>
      </c>
      <c r="L3" s="55">
        <v>45</v>
      </c>
      <c r="M3" s="75">
        <v>1</v>
      </c>
      <c r="N3" s="54"/>
      <c r="O3" s="55"/>
      <c r="P3" s="75">
        <v>1</v>
      </c>
      <c r="Q3" s="54">
        <v>53.15</v>
      </c>
      <c r="R3" s="55">
        <v>697</v>
      </c>
      <c r="S3" s="75">
        <v>1</v>
      </c>
      <c r="T3" s="54">
        <v>15.59</v>
      </c>
      <c r="U3" s="55">
        <v>350</v>
      </c>
      <c r="V3" s="75">
        <v>1</v>
      </c>
      <c r="W3" s="54">
        <v>61.1</v>
      </c>
      <c r="X3" s="55">
        <v>484</v>
      </c>
      <c r="Y3" s="75">
        <v>1</v>
      </c>
      <c r="Z3" s="54">
        <v>14.31</v>
      </c>
      <c r="AA3" s="55">
        <v>0</v>
      </c>
      <c r="AB3" s="75">
        <v>1</v>
      </c>
      <c r="AC3" s="54"/>
      <c r="AD3" s="55"/>
      <c r="AE3" s="75">
        <v>1</v>
      </c>
      <c r="AF3" s="54">
        <v>32.44</v>
      </c>
      <c r="AG3" s="55">
        <v>475</v>
      </c>
      <c r="AH3" s="75">
        <v>1</v>
      </c>
      <c r="AI3" s="54">
        <v>10.23</v>
      </c>
      <c r="AJ3" s="55">
        <v>35</v>
      </c>
      <c r="AK3" s="67"/>
    </row>
    <row r="4" spans="1:37" s="49" customFormat="1" ht="11.25" x14ac:dyDescent="0.2">
      <c r="A4" s="73">
        <f>A3+1</f>
        <v>2</v>
      </c>
      <c r="B4" s="54"/>
      <c r="C4" s="55"/>
      <c r="D4" s="75">
        <f>D3+1</f>
        <v>2</v>
      </c>
      <c r="E4" s="54">
        <v>13.64</v>
      </c>
      <c r="F4" s="55">
        <v>0</v>
      </c>
      <c r="G4" s="75">
        <f>G3+1</f>
        <v>2</v>
      </c>
      <c r="H4" s="54"/>
      <c r="I4" s="55"/>
      <c r="J4" s="75">
        <f>J3+1</f>
        <v>2</v>
      </c>
      <c r="K4" s="54"/>
      <c r="L4" s="55"/>
      <c r="M4" s="75">
        <f>M3+1</f>
        <v>2</v>
      </c>
      <c r="N4" s="54">
        <v>26.74</v>
      </c>
      <c r="O4" s="55">
        <v>406</v>
      </c>
      <c r="P4" s="75">
        <f>P3+1</f>
        <v>2</v>
      </c>
      <c r="Q4" s="54">
        <v>16.670000000000002</v>
      </c>
      <c r="R4" s="55">
        <v>143</v>
      </c>
      <c r="S4" s="75">
        <f>S3+1</f>
        <v>2</v>
      </c>
      <c r="T4" s="54"/>
      <c r="U4" s="55"/>
      <c r="V4" s="75">
        <f>V3+1</f>
        <v>2</v>
      </c>
      <c r="W4" s="54">
        <v>24.95</v>
      </c>
      <c r="X4" s="55">
        <v>334</v>
      </c>
      <c r="Y4" s="75">
        <f>Y3+1</f>
        <v>2</v>
      </c>
      <c r="Z4" s="54">
        <v>24.4</v>
      </c>
      <c r="AA4" s="55">
        <v>757</v>
      </c>
      <c r="AB4" s="75">
        <f>AB3+1</f>
        <v>2</v>
      </c>
      <c r="AC4" s="54">
        <v>22.72</v>
      </c>
      <c r="AD4" s="55">
        <v>10</v>
      </c>
      <c r="AE4" s="75">
        <f>AE3+1</f>
        <v>2</v>
      </c>
      <c r="AF4" s="54">
        <v>42.2</v>
      </c>
      <c r="AG4" s="55">
        <v>156</v>
      </c>
      <c r="AH4" s="75">
        <f>AH3+1</f>
        <v>2</v>
      </c>
      <c r="AI4" s="54"/>
      <c r="AJ4" s="55"/>
      <c r="AK4" s="67"/>
    </row>
    <row r="5" spans="1:37" s="49" customFormat="1" ht="11.25" x14ac:dyDescent="0.2">
      <c r="A5" s="73">
        <f t="shared" ref="A5:A33" si="0">A4+1</f>
        <v>3</v>
      </c>
      <c r="B5" s="54">
        <v>13.07</v>
      </c>
      <c r="C5" s="55">
        <v>77</v>
      </c>
      <c r="D5" s="75">
        <f t="shared" ref="D5:D31" si="1">D4+1</f>
        <v>3</v>
      </c>
      <c r="E5" s="54">
        <v>74.540000000000006</v>
      </c>
      <c r="F5" s="55">
        <v>115</v>
      </c>
      <c r="G5" s="75">
        <f t="shared" ref="G5:G33" si="2">G4+1</f>
        <v>3</v>
      </c>
      <c r="H5" s="54"/>
      <c r="I5" s="55"/>
      <c r="J5" s="75">
        <f t="shared" ref="J5:J32" si="3">J4+1</f>
        <v>3</v>
      </c>
      <c r="K5" s="54"/>
      <c r="L5" s="55"/>
      <c r="M5" s="75">
        <f t="shared" ref="M5:M33" si="4">M4+1</f>
        <v>3</v>
      </c>
      <c r="N5" s="54">
        <v>40.53</v>
      </c>
      <c r="O5" s="55">
        <v>843</v>
      </c>
      <c r="P5" s="75">
        <f t="shared" ref="P5:P32" si="5">P4+1</f>
        <v>3</v>
      </c>
      <c r="Q5" s="54">
        <v>16.5</v>
      </c>
      <c r="R5" s="55">
        <v>323</v>
      </c>
      <c r="S5" s="75">
        <f t="shared" ref="S5:S33" si="6">S4+1</f>
        <v>3</v>
      </c>
      <c r="T5" s="54"/>
      <c r="U5" s="55"/>
      <c r="V5" s="75">
        <f t="shared" ref="V5:V33" si="7">V4+1</f>
        <v>3</v>
      </c>
      <c r="W5" s="54">
        <v>44</v>
      </c>
      <c r="X5" s="55">
        <v>586</v>
      </c>
      <c r="Y5" s="75">
        <f t="shared" ref="Y5:Y32" si="8">Y4+1</f>
        <v>3</v>
      </c>
      <c r="Z5" s="54">
        <v>10</v>
      </c>
      <c r="AA5" s="55">
        <v>0</v>
      </c>
      <c r="AB5" s="75">
        <f t="shared" ref="AB5:AB33" si="9">AB4+1</f>
        <v>3</v>
      </c>
      <c r="AC5" s="54">
        <v>28.3</v>
      </c>
      <c r="AD5" s="55">
        <v>141</v>
      </c>
      <c r="AE5" s="75">
        <f t="shared" ref="AE5:AE32" si="10">AE4+1</f>
        <v>3</v>
      </c>
      <c r="AF5" s="54">
        <v>20.190000000000001</v>
      </c>
      <c r="AG5" s="55">
        <v>130</v>
      </c>
      <c r="AH5" s="75">
        <f t="shared" ref="AH5:AH33" si="11">AH4+1</f>
        <v>3</v>
      </c>
      <c r="AI5" s="54"/>
      <c r="AJ5" s="55"/>
      <c r="AK5" s="67"/>
    </row>
    <row r="6" spans="1:37" s="49" customFormat="1" ht="11.25" x14ac:dyDescent="0.2">
      <c r="A6" s="73">
        <f t="shared" si="0"/>
        <v>4</v>
      </c>
      <c r="B6" s="54"/>
      <c r="C6" s="55"/>
      <c r="D6" s="75">
        <f t="shared" si="1"/>
        <v>4</v>
      </c>
      <c r="E6" s="54">
        <v>16.14</v>
      </c>
      <c r="F6" s="55">
        <v>10</v>
      </c>
      <c r="G6" s="75">
        <f t="shared" si="2"/>
        <v>4</v>
      </c>
      <c r="H6" s="54"/>
      <c r="I6" s="55"/>
      <c r="J6" s="75">
        <f t="shared" si="3"/>
        <v>4</v>
      </c>
      <c r="K6" s="54">
        <v>22.31</v>
      </c>
      <c r="L6" s="55">
        <v>15</v>
      </c>
      <c r="M6" s="75">
        <f t="shared" si="4"/>
        <v>4</v>
      </c>
      <c r="N6" s="54">
        <v>30.02</v>
      </c>
      <c r="O6" s="55">
        <v>596</v>
      </c>
      <c r="P6" s="75">
        <f t="shared" si="5"/>
        <v>4</v>
      </c>
      <c r="Q6" s="54">
        <v>5</v>
      </c>
      <c r="R6" s="55">
        <v>0</v>
      </c>
      <c r="S6" s="75">
        <f t="shared" si="6"/>
        <v>4</v>
      </c>
      <c r="T6" s="54"/>
      <c r="U6" s="55"/>
      <c r="V6" s="75">
        <f t="shared" si="7"/>
        <v>4</v>
      </c>
      <c r="W6" s="54">
        <v>10.02</v>
      </c>
      <c r="X6" s="55">
        <v>30</v>
      </c>
      <c r="Y6" s="75">
        <f t="shared" si="8"/>
        <v>4</v>
      </c>
      <c r="Z6" s="54"/>
      <c r="AA6" s="55"/>
      <c r="AB6" s="75">
        <f t="shared" si="9"/>
        <v>4</v>
      </c>
      <c r="AC6" s="54">
        <v>26.42</v>
      </c>
      <c r="AD6" s="55">
        <v>122</v>
      </c>
      <c r="AE6" s="75">
        <f t="shared" si="10"/>
        <v>4</v>
      </c>
      <c r="AF6" s="54">
        <v>15.09</v>
      </c>
      <c r="AG6" s="55">
        <v>10</v>
      </c>
      <c r="AH6" s="75">
        <f t="shared" si="11"/>
        <v>4</v>
      </c>
      <c r="AI6" s="54"/>
      <c r="AJ6" s="55"/>
      <c r="AK6" s="67"/>
    </row>
    <row r="7" spans="1:37" s="49" customFormat="1" ht="11.25" x14ac:dyDescent="0.2">
      <c r="A7" s="73">
        <f t="shared" si="0"/>
        <v>5</v>
      </c>
      <c r="B7" s="54"/>
      <c r="C7" s="55"/>
      <c r="D7" s="75">
        <f t="shared" si="1"/>
        <v>5</v>
      </c>
      <c r="E7" s="54">
        <v>42.2</v>
      </c>
      <c r="F7" s="55">
        <v>156</v>
      </c>
      <c r="G7" s="75">
        <f t="shared" si="2"/>
        <v>5</v>
      </c>
      <c r="H7" s="54"/>
      <c r="I7" s="55"/>
      <c r="J7" s="75">
        <f t="shared" si="3"/>
        <v>5</v>
      </c>
      <c r="K7" s="54">
        <v>21.93</v>
      </c>
      <c r="L7" s="55">
        <v>10</v>
      </c>
      <c r="M7" s="75">
        <f t="shared" si="4"/>
        <v>5</v>
      </c>
      <c r="N7" s="54">
        <v>25.68</v>
      </c>
      <c r="O7" s="55">
        <v>15</v>
      </c>
      <c r="P7" s="75">
        <f t="shared" si="5"/>
        <v>5</v>
      </c>
      <c r="Q7" s="54">
        <v>20.49</v>
      </c>
      <c r="R7" s="55">
        <v>177</v>
      </c>
      <c r="S7" s="75">
        <f t="shared" si="6"/>
        <v>5</v>
      </c>
      <c r="T7" s="54">
        <v>49.35</v>
      </c>
      <c r="U7" s="55">
        <v>370</v>
      </c>
      <c r="V7" s="75">
        <f t="shared" si="7"/>
        <v>5</v>
      </c>
      <c r="W7" s="54">
        <v>5.09</v>
      </c>
      <c r="X7" s="55">
        <v>0</v>
      </c>
      <c r="Y7" s="75">
        <f t="shared" si="8"/>
        <v>5</v>
      </c>
      <c r="Z7" s="54">
        <v>31.91</v>
      </c>
      <c r="AA7" s="55">
        <v>680</v>
      </c>
      <c r="AB7" s="75">
        <f t="shared" si="9"/>
        <v>5</v>
      </c>
      <c r="AC7" s="54">
        <v>77.22</v>
      </c>
      <c r="AD7" s="55">
        <v>942</v>
      </c>
      <c r="AE7" s="75">
        <f t="shared" si="10"/>
        <v>5</v>
      </c>
      <c r="AF7" s="54">
        <v>20.78</v>
      </c>
      <c r="AG7" s="55">
        <v>50</v>
      </c>
      <c r="AH7" s="75">
        <f t="shared" si="11"/>
        <v>5</v>
      </c>
      <c r="AI7" s="54">
        <v>13.28</v>
      </c>
      <c r="AJ7" s="55">
        <v>35</v>
      </c>
      <c r="AK7" s="67"/>
    </row>
    <row r="8" spans="1:37" s="49" customFormat="1" ht="11.25" x14ac:dyDescent="0.2">
      <c r="A8" s="73">
        <f t="shared" si="0"/>
        <v>6</v>
      </c>
      <c r="B8" s="54">
        <v>14.27</v>
      </c>
      <c r="C8" s="55">
        <v>45</v>
      </c>
      <c r="D8" s="75">
        <f t="shared" si="1"/>
        <v>6</v>
      </c>
      <c r="E8" s="54"/>
      <c r="F8" s="55"/>
      <c r="G8" s="75">
        <f t="shared" si="2"/>
        <v>6</v>
      </c>
      <c r="H8" s="54">
        <v>11.88</v>
      </c>
      <c r="I8" s="55">
        <v>30</v>
      </c>
      <c r="J8" s="75">
        <f t="shared" si="3"/>
        <v>6</v>
      </c>
      <c r="K8" s="54">
        <v>22</v>
      </c>
      <c r="L8" s="55">
        <v>60</v>
      </c>
      <c r="M8" s="75">
        <f t="shared" si="4"/>
        <v>6</v>
      </c>
      <c r="N8" s="54">
        <v>20.37</v>
      </c>
      <c r="O8" s="55">
        <v>276</v>
      </c>
      <c r="P8" s="75">
        <f t="shared" si="5"/>
        <v>6</v>
      </c>
      <c r="Q8" s="54">
        <v>68.77</v>
      </c>
      <c r="R8" s="55">
        <v>1485</v>
      </c>
      <c r="S8" s="75">
        <f t="shared" si="6"/>
        <v>6</v>
      </c>
      <c r="T8" s="54">
        <v>40.47</v>
      </c>
      <c r="U8" s="55">
        <v>649</v>
      </c>
      <c r="V8" s="75">
        <f t="shared" si="7"/>
        <v>6</v>
      </c>
      <c r="W8" s="54"/>
      <c r="X8" s="55"/>
      <c r="Y8" s="75">
        <f t="shared" si="8"/>
        <v>6</v>
      </c>
      <c r="Z8" s="54">
        <v>40.159999999999997</v>
      </c>
      <c r="AA8" s="55">
        <v>76</v>
      </c>
      <c r="AB8" s="75">
        <f t="shared" si="9"/>
        <v>6</v>
      </c>
      <c r="AC8" s="54">
        <v>14.25</v>
      </c>
      <c r="AD8" s="55">
        <v>60</v>
      </c>
      <c r="AE8" s="75">
        <f t="shared" si="10"/>
        <v>6</v>
      </c>
      <c r="AF8" s="54">
        <v>23.81</v>
      </c>
      <c r="AG8" s="55">
        <v>15</v>
      </c>
      <c r="AH8" s="75">
        <f t="shared" si="11"/>
        <v>6</v>
      </c>
      <c r="AI8" s="54"/>
      <c r="AJ8" s="55"/>
      <c r="AK8" s="67"/>
    </row>
    <row r="9" spans="1:37" s="49" customFormat="1" ht="11.25" x14ac:dyDescent="0.2">
      <c r="A9" s="73">
        <f t="shared" si="0"/>
        <v>7</v>
      </c>
      <c r="B9" s="54"/>
      <c r="C9" s="55"/>
      <c r="D9" s="75">
        <f t="shared" si="1"/>
        <v>7</v>
      </c>
      <c r="E9" s="54">
        <v>20.79</v>
      </c>
      <c r="F9" s="55">
        <v>10</v>
      </c>
      <c r="G9" s="75">
        <f t="shared" si="2"/>
        <v>7</v>
      </c>
      <c r="H9" s="54">
        <v>16.649999999999999</v>
      </c>
      <c r="I9" s="55">
        <v>60</v>
      </c>
      <c r="J9" s="75">
        <f t="shared" si="3"/>
        <v>7</v>
      </c>
      <c r="K9" s="54"/>
      <c r="L9" s="55"/>
      <c r="M9" s="75">
        <f t="shared" si="4"/>
        <v>7</v>
      </c>
      <c r="N9" s="54">
        <v>21.55</v>
      </c>
      <c r="O9" s="55">
        <v>463</v>
      </c>
      <c r="P9" s="75">
        <f t="shared" si="5"/>
        <v>7</v>
      </c>
      <c r="Q9" s="54">
        <v>24.99</v>
      </c>
      <c r="R9" s="55">
        <v>309</v>
      </c>
      <c r="S9" s="75">
        <f t="shared" si="6"/>
        <v>7</v>
      </c>
      <c r="T9" s="54"/>
      <c r="U9" s="55"/>
      <c r="V9" s="75">
        <f t="shared" si="7"/>
        <v>7</v>
      </c>
      <c r="W9" s="54"/>
      <c r="X9" s="55"/>
      <c r="Y9" s="75">
        <f t="shared" si="8"/>
        <v>7</v>
      </c>
      <c r="Z9" s="54">
        <v>37.44</v>
      </c>
      <c r="AA9" s="55">
        <v>425</v>
      </c>
      <c r="AB9" s="75">
        <f t="shared" si="9"/>
        <v>7</v>
      </c>
      <c r="AC9" s="54">
        <v>16.63</v>
      </c>
      <c r="AD9" s="55">
        <v>5</v>
      </c>
      <c r="AE9" s="75">
        <f t="shared" si="10"/>
        <v>7</v>
      </c>
      <c r="AF9" s="54"/>
      <c r="AG9" s="55"/>
      <c r="AH9" s="75">
        <f t="shared" si="11"/>
        <v>7</v>
      </c>
      <c r="AI9" s="54">
        <v>25</v>
      </c>
      <c r="AJ9" s="55">
        <v>605</v>
      </c>
      <c r="AK9" s="67"/>
    </row>
    <row r="10" spans="1:37" s="49" customFormat="1" ht="11.25" x14ac:dyDescent="0.2">
      <c r="A10" s="73">
        <f t="shared" si="0"/>
        <v>8</v>
      </c>
      <c r="B10" s="54">
        <v>17.3</v>
      </c>
      <c r="C10" s="55">
        <v>60</v>
      </c>
      <c r="D10" s="75">
        <f t="shared" si="1"/>
        <v>8</v>
      </c>
      <c r="E10" s="54">
        <v>13.7</v>
      </c>
      <c r="F10" s="55">
        <v>110</v>
      </c>
      <c r="G10" s="75">
        <f t="shared" si="2"/>
        <v>8</v>
      </c>
      <c r="H10" s="54"/>
      <c r="I10" s="55"/>
      <c r="J10" s="75">
        <f t="shared" si="3"/>
        <v>8</v>
      </c>
      <c r="K10" s="54">
        <v>25.67</v>
      </c>
      <c r="L10" s="55">
        <v>15</v>
      </c>
      <c r="M10" s="75">
        <f t="shared" si="4"/>
        <v>8</v>
      </c>
      <c r="N10" s="54"/>
      <c r="O10" s="55"/>
      <c r="P10" s="75">
        <f t="shared" si="5"/>
        <v>8</v>
      </c>
      <c r="Q10" s="54">
        <v>20.66</v>
      </c>
      <c r="R10" s="55">
        <v>299</v>
      </c>
      <c r="S10" s="75">
        <f t="shared" si="6"/>
        <v>8</v>
      </c>
      <c r="T10" s="54">
        <v>10.7</v>
      </c>
      <c r="U10" s="55">
        <v>0</v>
      </c>
      <c r="V10" s="75">
        <f t="shared" si="7"/>
        <v>8</v>
      </c>
      <c r="W10" s="54">
        <v>26.2</v>
      </c>
      <c r="X10" s="55">
        <v>40</v>
      </c>
      <c r="Y10" s="75">
        <f t="shared" si="8"/>
        <v>8</v>
      </c>
      <c r="AB10" s="75">
        <f t="shared" si="9"/>
        <v>8</v>
      </c>
      <c r="AC10" s="54">
        <v>19.61</v>
      </c>
      <c r="AD10" s="55">
        <v>215</v>
      </c>
      <c r="AE10" s="75">
        <f t="shared" si="10"/>
        <v>8</v>
      </c>
      <c r="AF10" s="54">
        <v>39.69</v>
      </c>
      <c r="AG10" s="55">
        <v>585</v>
      </c>
      <c r="AH10" s="75">
        <f t="shared" si="11"/>
        <v>8</v>
      </c>
      <c r="AI10" s="54"/>
      <c r="AJ10" s="55"/>
      <c r="AK10" s="67"/>
    </row>
    <row r="11" spans="1:37" s="49" customFormat="1" ht="11.25" x14ac:dyDescent="0.2">
      <c r="A11" s="73">
        <f t="shared" si="0"/>
        <v>9</v>
      </c>
      <c r="B11" s="54">
        <v>20.32</v>
      </c>
      <c r="C11" s="55">
        <v>50</v>
      </c>
      <c r="D11" s="75">
        <f t="shared" si="1"/>
        <v>9</v>
      </c>
      <c r="E11" s="54">
        <v>78.14</v>
      </c>
      <c r="F11" s="55">
        <v>65</v>
      </c>
      <c r="G11" s="75">
        <f t="shared" si="2"/>
        <v>9</v>
      </c>
      <c r="H11" s="54">
        <v>22.55</v>
      </c>
      <c r="I11" s="55">
        <v>140</v>
      </c>
      <c r="J11" s="75">
        <f t="shared" si="3"/>
        <v>9</v>
      </c>
      <c r="K11" s="54">
        <v>8.5299999999999994</v>
      </c>
      <c r="L11" s="55">
        <v>0</v>
      </c>
      <c r="M11" s="75">
        <f t="shared" si="4"/>
        <v>9</v>
      </c>
      <c r="N11" s="54">
        <v>20.170000000000002</v>
      </c>
      <c r="O11" s="55">
        <v>409</v>
      </c>
      <c r="P11" s="75">
        <f t="shared" si="5"/>
        <v>9</v>
      </c>
      <c r="Q11" s="54">
        <v>20.37</v>
      </c>
      <c r="R11" s="55">
        <v>86</v>
      </c>
      <c r="S11" s="75">
        <f t="shared" si="6"/>
        <v>9</v>
      </c>
      <c r="T11" s="54">
        <v>9.69</v>
      </c>
      <c r="U11" s="55">
        <v>305</v>
      </c>
      <c r="V11" s="75">
        <f t="shared" si="7"/>
        <v>9</v>
      </c>
      <c r="W11" s="54">
        <v>89.5</v>
      </c>
      <c r="X11" s="55">
        <v>1140</v>
      </c>
      <c r="Y11" s="75">
        <f t="shared" si="8"/>
        <v>9</v>
      </c>
      <c r="Z11" s="54">
        <v>59.73</v>
      </c>
      <c r="AA11" s="55">
        <v>785</v>
      </c>
      <c r="AB11" s="75">
        <f t="shared" si="9"/>
        <v>9</v>
      </c>
      <c r="AC11" s="54">
        <v>15.09</v>
      </c>
      <c r="AD11" s="55">
        <v>40</v>
      </c>
      <c r="AE11" s="75">
        <f t="shared" si="10"/>
        <v>9</v>
      </c>
      <c r="AF11" s="54">
        <v>29.25</v>
      </c>
      <c r="AG11" s="55">
        <v>300</v>
      </c>
      <c r="AH11" s="75">
        <f t="shared" si="11"/>
        <v>9</v>
      </c>
      <c r="AI11" s="54">
        <v>24</v>
      </c>
      <c r="AJ11" s="55">
        <v>560</v>
      </c>
      <c r="AK11" s="67"/>
    </row>
    <row r="12" spans="1:37" s="49" customFormat="1" ht="11.25" x14ac:dyDescent="0.2">
      <c r="A12" s="73">
        <f t="shared" si="0"/>
        <v>10</v>
      </c>
      <c r="B12" s="54">
        <v>14.76</v>
      </c>
      <c r="C12" s="55">
        <v>350</v>
      </c>
      <c r="D12" s="75">
        <f t="shared" si="1"/>
        <v>10</v>
      </c>
      <c r="E12" s="54">
        <v>75.53</v>
      </c>
      <c r="F12" s="55">
        <v>145</v>
      </c>
      <c r="G12" s="75">
        <f t="shared" si="2"/>
        <v>10</v>
      </c>
      <c r="H12" s="54"/>
      <c r="I12" s="55"/>
      <c r="J12" s="75">
        <f t="shared" si="3"/>
        <v>10</v>
      </c>
      <c r="K12" s="54"/>
      <c r="L12" s="55"/>
      <c r="M12" s="75">
        <f t="shared" si="4"/>
        <v>10</v>
      </c>
      <c r="N12" s="54">
        <v>115</v>
      </c>
      <c r="O12" s="55">
        <v>1335</v>
      </c>
      <c r="P12" s="75">
        <f t="shared" si="5"/>
        <v>10</v>
      </c>
      <c r="Q12" s="54">
        <v>34.799999999999997</v>
      </c>
      <c r="R12" s="55">
        <v>756</v>
      </c>
      <c r="S12" s="75">
        <f t="shared" si="6"/>
        <v>10</v>
      </c>
      <c r="T12" s="54">
        <v>5</v>
      </c>
      <c r="U12" s="55">
        <v>0</v>
      </c>
      <c r="V12" s="75">
        <f t="shared" si="7"/>
        <v>10</v>
      </c>
      <c r="W12" s="54">
        <v>78.58</v>
      </c>
      <c r="X12" s="55">
        <v>795</v>
      </c>
      <c r="Y12" s="75">
        <f t="shared" si="8"/>
        <v>10</v>
      </c>
      <c r="AB12" s="75">
        <f t="shared" si="9"/>
        <v>10</v>
      </c>
      <c r="AC12" s="54">
        <v>17.88</v>
      </c>
      <c r="AD12" s="55">
        <v>152</v>
      </c>
      <c r="AE12" s="75">
        <f t="shared" si="10"/>
        <v>10</v>
      </c>
      <c r="AF12" s="54">
        <v>11.18</v>
      </c>
      <c r="AG12" s="55">
        <v>92</v>
      </c>
      <c r="AH12" s="75">
        <f t="shared" si="11"/>
        <v>10</v>
      </c>
      <c r="AI12" s="54">
        <v>31</v>
      </c>
      <c r="AJ12" s="55">
        <v>1260</v>
      </c>
      <c r="AK12" s="67"/>
    </row>
    <row r="13" spans="1:37" s="49" customFormat="1" ht="11.25" x14ac:dyDescent="0.2">
      <c r="A13" s="73">
        <f t="shared" si="0"/>
        <v>11</v>
      </c>
      <c r="B13" s="54"/>
      <c r="C13" s="55"/>
      <c r="D13" s="75">
        <f t="shared" si="1"/>
        <v>11</v>
      </c>
      <c r="E13" s="54"/>
      <c r="F13" s="55"/>
      <c r="G13" s="75">
        <f t="shared" si="2"/>
        <v>11</v>
      </c>
      <c r="H13" s="54"/>
      <c r="I13" s="55"/>
      <c r="J13" s="75">
        <f t="shared" si="3"/>
        <v>11</v>
      </c>
      <c r="K13" s="54"/>
      <c r="L13" s="55"/>
      <c r="M13" s="75">
        <f t="shared" si="4"/>
        <v>11</v>
      </c>
      <c r="N13" s="54">
        <v>22.54</v>
      </c>
      <c r="O13" s="55">
        <v>377</v>
      </c>
      <c r="P13" s="75">
        <f t="shared" si="5"/>
        <v>11</v>
      </c>
      <c r="Q13" s="54">
        <v>8.1300000000000008</v>
      </c>
      <c r="R13" s="55">
        <v>5</v>
      </c>
      <c r="S13" s="75">
        <f t="shared" si="6"/>
        <v>11</v>
      </c>
      <c r="T13" s="54">
        <v>25.81</v>
      </c>
      <c r="U13" s="55">
        <v>80</v>
      </c>
      <c r="V13" s="75">
        <f t="shared" si="7"/>
        <v>11</v>
      </c>
      <c r="W13" s="54">
        <v>12.63</v>
      </c>
      <c r="X13" s="55">
        <v>5</v>
      </c>
      <c r="Y13" s="75">
        <f t="shared" si="8"/>
        <v>11</v>
      </c>
      <c r="Z13" s="54">
        <v>33.01</v>
      </c>
      <c r="AA13" s="55">
        <v>464</v>
      </c>
      <c r="AB13" s="75">
        <f t="shared" si="9"/>
        <v>11</v>
      </c>
      <c r="AC13" s="54">
        <v>35</v>
      </c>
      <c r="AD13" s="55">
        <v>435</v>
      </c>
      <c r="AE13" s="75">
        <f t="shared" si="10"/>
        <v>11</v>
      </c>
      <c r="AF13" s="54"/>
      <c r="AG13" s="55"/>
      <c r="AH13" s="75">
        <f t="shared" si="11"/>
        <v>11</v>
      </c>
      <c r="AI13" s="54"/>
      <c r="AJ13" s="55"/>
      <c r="AK13" s="67"/>
    </row>
    <row r="14" spans="1:37" s="49" customFormat="1" ht="11.25" x14ac:dyDescent="0.2">
      <c r="A14" s="73">
        <f t="shared" si="0"/>
        <v>12</v>
      </c>
      <c r="B14" s="54"/>
      <c r="C14" s="55"/>
      <c r="D14" s="75">
        <f t="shared" si="1"/>
        <v>12</v>
      </c>
      <c r="E14" s="54">
        <v>20.56</v>
      </c>
      <c r="F14" s="55">
        <v>10</v>
      </c>
      <c r="G14" s="75">
        <f t="shared" si="2"/>
        <v>12</v>
      </c>
      <c r="H14" s="54"/>
      <c r="I14" s="55"/>
      <c r="J14" s="75">
        <f t="shared" si="3"/>
        <v>12</v>
      </c>
      <c r="K14" s="54">
        <v>88.62</v>
      </c>
      <c r="L14" s="55">
        <v>880</v>
      </c>
      <c r="M14" s="75">
        <f t="shared" si="4"/>
        <v>12</v>
      </c>
      <c r="N14" s="54">
        <v>17.25</v>
      </c>
      <c r="O14" s="55">
        <v>379</v>
      </c>
      <c r="P14" s="75">
        <f t="shared" si="5"/>
        <v>12</v>
      </c>
      <c r="Q14" s="54">
        <v>30.32</v>
      </c>
      <c r="R14" s="55">
        <v>15</v>
      </c>
      <c r="S14" s="75">
        <f t="shared" si="6"/>
        <v>12</v>
      </c>
      <c r="T14" s="54">
        <v>32.659999999999997</v>
      </c>
      <c r="U14" s="55">
        <v>470</v>
      </c>
      <c r="V14" s="75">
        <f t="shared" si="7"/>
        <v>12</v>
      </c>
      <c r="W14" s="54">
        <v>11.56</v>
      </c>
      <c r="X14" s="55">
        <v>35</v>
      </c>
      <c r="Y14" s="75">
        <f t="shared" si="8"/>
        <v>12</v>
      </c>
      <c r="Z14" s="54">
        <v>20.25</v>
      </c>
      <c r="AA14" s="55">
        <v>10</v>
      </c>
      <c r="AB14" s="75">
        <f t="shared" si="9"/>
        <v>12</v>
      </c>
      <c r="AC14" s="54">
        <v>41.21</v>
      </c>
      <c r="AD14" s="55">
        <v>560</v>
      </c>
      <c r="AE14" s="75">
        <f t="shared" si="10"/>
        <v>12</v>
      </c>
      <c r="AF14" s="54"/>
      <c r="AG14" s="55"/>
      <c r="AH14" s="75">
        <f t="shared" si="11"/>
        <v>12</v>
      </c>
      <c r="AI14" s="54">
        <v>8</v>
      </c>
      <c r="AJ14" s="55">
        <v>260</v>
      </c>
      <c r="AK14" s="67"/>
    </row>
    <row r="15" spans="1:37" s="49" customFormat="1" ht="11.25" x14ac:dyDescent="0.2">
      <c r="A15" s="73">
        <f t="shared" si="0"/>
        <v>13</v>
      </c>
      <c r="B15" s="54">
        <v>31</v>
      </c>
      <c r="C15" s="55">
        <v>885</v>
      </c>
      <c r="D15" s="75">
        <f t="shared" si="1"/>
        <v>13</v>
      </c>
      <c r="E15" s="54">
        <v>5.2</v>
      </c>
      <c r="F15" s="55">
        <v>0</v>
      </c>
      <c r="G15" s="75">
        <f t="shared" si="2"/>
        <v>13</v>
      </c>
      <c r="H15" s="54">
        <v>9.36</v>
      </c>
      <c r="I15" s="55">
        <v>0</v>
      </c>
      <c r="J15" s="75">
        <f t="shared" si="3"/>
        <v>13</v>
      </c>
      <c r="K15" s="54"/>
      <c r="L15" s="55"/>
      <c r="M15" s="75">
        <f t="shared" si="4"/>
        <v>13</v>
      </c>
      <c r="N15" s="54">
        <v>30.23</v>
      </c>
      <c r="O15" s="55">
        <v>15</v>
      </c>
      <c r="P15" s="75">
        <f t="shared" si="5"/>
        <v>13</v>
      </c>
      <c r="Q15" s="54">
        <v>43.44</v>
      </c>
      <c r="R15" s="55">
        <v>300</v>
      </c>
      <c r="S15" s="75">
        <f t="shared" si="6"/>
        <v>13</v>
      </c>
      <c r="T15" s="54">
        <v>21.41</v>
      </c>
      <c r="U15" s="55">
        <v>300</v>
      </c>
      <c r="V15" s="75">
        <f t="shared" si="7"/>
        <v>13</v>
      </c>
      <c r="W15" s="54">
        <v>13.44</v>
      </c>
      <c r="X15" s="55">
        <v>91</v>
      </c>
      <c r="Y15" s="75">
        <f t="shared" si="8"/>
        <v>13</v>
      </c>
      <c r="Z15" s="54"/>
      <c r="AA15" s="55"/>
      <c r="AB15" s="75">
        <f t="shared" si="9"/>
        <v>13</v>
      </c>
      <c r="AC15" s="54"/>
      <c r="AD15" s="55"/>
      <c r="AE15" s="75">
        <f t="shared" si="10"/>
        <v>13</v>
      </c>
      <c r="AF15" s="54"/>
      <c r="AG15" s="55"/>
      <c r="AH15" s="75">
        <f t="shared" si="11"/>
        <v>13</v>
      </c>
      <c r="AI15" s="54"/>
      <c r="AJ15" s="55"/>
      <c r="AK15" s="67"/>
    </row>
    <row r="16" spans="1:37" s="49" customFormat="1" ht="11.25" x14ac:dyDescent="0.2">
      <c r="A16" s="73">
        <f t="shared" si="0"/>
        <v>14</v>
      </c>
      <c r="B16" s="54">
        <v>33</v>
      </c>
      <c r="C16" s="55">
        <v>655</v>
      </c>
      <c r="D16" s="75">
        <f t="shared" si="1"/>
        <v>14</v>
      </c>
      <c r="E16" s="54">
        <v>22.72</v>
      </c>
      <c r="F16" s="55">
        <v>10</v>
      </c>
      <c r="G16" s="75">
        <f t="shared" si="2"/>
        <v>14</v>
      </c>
      <c r="H16" s="54">
        <v>6</v>
      </c>
      <c r="I16" s="55">
        <v>0</v>
      </c>
      <c r="J16" s="75">
        <f t="shared" si="3"/>
        <v>14</v>
      </c>
      <c r="K16" s="54"/>
      <c r="L16" s="55"/>
      <c r="M16" s="75">
        <f t="shared" si="4"/>
        <v>14</v>
      </c>
      <c r="N16" s="54">
        <v>10.47</v>
      </c>
      <c r="O16" s="55">
        <v>0</v>
      </c>
      <c r="P16" s="75">
        <f t="shared" si="5"/>
        <v>14</v>
      </c>
      <c r="Q16" s="54">
        <v>115</v>
      </c>
      <c r="R16" s="55">
        <v>1445</v>
      </c>
      <c r="S16" s="75">
        <f t="shared" si="6"/>
        <v>14</v>
      </c>
      <c r="T16" s="54">
        <v>30.06</v>
      </c>
      <c r="U16" s="55">
        <v>60</v>
      </c>
      <c r="V16" s="75">
        <f t="shared" si="7"/>
        <v>14</v>
      </c>
      <c r="W16" s="54">
        <v>31.06</v>
      </c>
      <c r="X16" s="55">
        <v>982</v>
      </c>
      <c r="Y16" s="75">
        <f t="shared" si="8"/>
        <v>14</v>
      </c>
      <c r="Z16" s="54">
        <v>36.85</v>
      </c>
      <c r="AA16" s="55">
        <v>830</v>
      </c>
      <c r="AB16" s="75">
        <f t="shared" si="9"/>
        <v>14</v>
      </c>
      <c r="AC16" s="54">
        <v>12.53</v>
      </c>
      <c r="AD16" s="55">
        <v>60</v>
      </c>
      <c r="AE16" s="75">
        <f t="shared" si="10"/>
        <v>14</v>
      </c>
      <c r="AF16" s="54">
        <v>22.57</v>
      </c>
      <c r="AG16" s="55">
        <v>299</v>
      </c>
      <c r="AH16" s="75">
        <f t="shared" si="11"/>
        <v>14</v>
      </c>
      <c r="AI16" s="54">
        <v>16.71</v>
      </c>
      <c r="AJ16" s="55">
        <v>32</v>
      </c>
      <c r="AK16" s="67"/>
    </row>
    <row r="17" spans="1:37" s="49" customFormat="1" ht="11.25" x14ac:dyDescent="0.2">
      <c r="A17" s="73">
        <f t="shared" si="0"/>
        <v>15</v>
      </c>
      <c r="B17" s="54">
        <v>5.6</v>
      </c>
      <c r="C17" s="55">
        <v>124</v>
      </c>
      <c r="D17" s="75">
        <f t="shared" si="1"/>
        <v>15</v>
      </c>
      <c r="E17" s="54">
        <v>10.73</v>
      </c>
      <c r="F17" s="55">
        <v>5</v>
      </c>
      <c r="G17" s="75">
        <f t="shared" si="2"/>
        <v>15</v>
      </c>
      <c r="H17" s="54">
        <v>68.02</v>
      </c>
      <c r="I17" s="55">
        <v>520</v>
      </c>
      <c r="J17" s="75">
        <f t="shared" si="3"/>
        <v>15</v>
      </c>
      <c r="K17" s="54">
        <v>14.48</v>
      </c>
      <c r="L17" s="55">
        <v>334</v>
      </c>
      <c r="M17" s="75">
        <f t="shared" si="4"/>
        <v>15</v>
      </c>
      <c r="N17" s="54">
        <v>10.17</v>
      </c>
      <c r="O17" s="55">
        <v>132</v>
      </c>
      <c r="P17" s="75">
        <f t="shared" si="5"/>
        <v>15</v>
      </c>
      <c r="Q17" s="54">
        <v>45.69</v>
      </c>
      <c r="R17" s="55">
        <v>120</v>
      </c>
      <c r="S17" s="75">
        <f t="shared" si="6"/>
        <v>15</v>
      </c>
      <c r="T17" s="54">
        <v>22.54</v>
      </c>
      <c r="U17" s="55">
        <v>333</v>
      </c>
      <c r="V17" s="75">
        <f t="shared" si="7"/>
        <v>15</v>
      </c>
      <c r="W17" s="54">
        <v>11.82</v>
      </c>
      <c r="X17" s="55">
        <v>50</v>
      </c>
      <c r="Y17" s="75">
        <f t="shared" si="8"/>
        <v>15</v>
      </c>
      <c r="Z17" s="54">
        <v>4.5999999999999996</v>
      </c>
      <c r="AA17" s="55">
        <v>0</v>
      </c>
      <c r="AB17" s="75">
        <f t="shared" si="9"/>
        <v>15</v>
      </c>
      <c r="AC17" s="54"/>
      <c r="AD17" s="55"/>
      <c r="AE17" s="75">
        <f t="shared" si="10"/>
        <v>15</v>
      </c>
      <c r="AF17" s="54">
        <v>82.72</v>
      </c>
      <c r="AG17" s="55">
        <v>70</v>
      </c>
      <c r="AH17" s="75">
        <f t="shared" si="11"/>
        <v>15</v>
      </c>
      <c r="AI17" s="54">
        <v>11.3</v>
      </c>
      <c r="AJ17" s="55">
        <v>15</v>
      </c>
      <c r="AK17" s="67"/>
    </row>
    <row r="18" spans="1:37" s="49" customFormat="1" ht="11.25" x14ac:dyDescent="0.2">
      <c r="A18" s="73">
        <f t="shared" si="0"/>
        <v>16</v>
      </c>
      <c r="B18" s="54">
        <v>39.200000000000003</v>
      </c>
      <c r="C18" s="55">
        <v>1100</v>
      </c>
      <c r="D18" s="75">
        <f t="shared" si="1"/>
        <v>16</v>
      </c>
      <c r="E18" s="54"/>
      <c r="F18" s="55"/>
      <c r="G18" s="75">
        <f t="shared" si="2"/>
        <v>16</v>
      </c>
      <c r="H18" s="54">
        <v>5</v>
      </c>
      <c r="I18" s="55">
        <v>0</v>
      </c>
      <c r="J18" s="75">
        <f t="shared" si="3"/>
        <v>16</v>
      </c>
      <c r="K18" s="54">
        <v>7</v>
      </c>
      <c r="L18" s="55">
        <v>0</v>
      </c>
      <c r="M18" s="75">
        <f t="shared" si="4"/>
        <v>16</v>
      </c>
      <c r="N18" s="54">
        <v>16.850000000000001</v>
      </c>
      <c r="O18" s="55">
        <v>528</v>
      </c>
      <c r="P18" s="75">
        <f t="shared" si="5"/>
        <v>16</v>
      </c>
      <c r="Q18" s="54">
        <v>21.06</v>
      </c>
      <c r="R18" s="55">
        <v>98</v>
      </c>
      <c r="S18" s="75">
        <f t="shared" si="6"/>
        <v>16</v>
      </c>
      <c r="T18" s="54">
        <v>26.42</v>
      </c>
      <c r="U18" s="55">
        <v>359</v>
      </c>
      <c r="V18" s="75">
        <f t="shared" si="7"/>
        <v>16</v>
      </c>
      <c r="W18" s="54"/>
      <c r="X18" s="55"/>
      <c r="Y18" s="75">
        <f t="shared" si="8"/>
        <v>16</v>
      </c>
      <c r="Z18" s="54">
        <v>6.5</v>
      </c>
      <c r="AA18" s="55">
        <v>15</v>
      </c>
      <c r="AB18" s="75">
        <f t="shared" si="9"/>
        <v>16</v>
      </c>
      <c r="AC18" s="54">
        <v>13.07</v>
      </c>
      <c r="AD18" s="55">
        <v>15</v>
      </c>
      <c r="AE18" s="75">
        <f t="shared" si="10"/>
        <v>16</v>
      </c>
      <c r="AF18" s="54"/>
      <c r="AG18" s="55"/>
      <c r="AH18" s="75">
        <f t="shared" si="11"/>
        <v>16</v>
      </c>
      <c r="AI18" s="54">
        <v>10.33</v>
      </c>
      <c r="AJ18" s="55">
        <v>35</v>
      </c>
      <c r="AK18" s="67"/>
    </row>
    <row r="19" spans="1:37" s="49" customFormat="1" ht="11.25" x14ac:dyDescent="0.2">
      <c r="A19" s="73">
        <f t="shared" si="0"/>
        <v>17</v>
      </c>
      <c r="B19" s="54"/>
      <c r="C19" s="55"/>
      <c r="D19" s="75">
        <f t="shared" si="1"/>
        <v>17</v>
      </c>
      <c r="E19" s="54"/>
      <c r="F19" s="55"/>
      <c r="G19" s="75">
        <f t="shared" si="2"/>
        <v>17</v>
      </c>
      <c r="H19" s="54"/>
      <c r="I19" s="55"/>
      <c r="J19" s="75">
        <f t="shared" si="3"/>
        <v>17</v>
      </c>
      <c r="K19" s="54"/>
      <c r="L19" s="55"/>
      <c r="M19" s="75">
        <f t="shared" si="4"/>
        <v>17</v>
      </c>
      <c r="N19" s="54">
        <v>25.89</v>
      </c>
      <c r="O19" s="55">
        <v>402</v>
      </c>
      <c r="P19" s="75">
        <f t="shared" si="5"/>
        <v>17</v>
      </c>
      <c r="Q19" s="54">
        <v>60.12</v>
      </c>
      <c r="R19" s="55">
        <v>30</v>
      </c>
      <c r="S19" s="75">
        <f t="shared" si="6"/>
        <v>17</v>
      </c>
      <c r="T19" s="54">
        <v>10.06</v>
      </c>
      <c r="U19" s="55">
        <v>60</v>
      </c>
      <c r="V19" s="75">
        <f t="shared" si="7"/>
        <v>17</v>
      </c>
      <c r="W19" s="54"/>
      <c r="X19" s="55"/>
      <c r="Y19" s="75">
        <f t="shared" si="8"/>
        <v>17</v>
      </c>
      <c r="Z19" s="54">
        <v>25.52</v>
      </c>
      <c r="AA19" s="55">
        <v>338</v>
      </c>
      <c r="AB19" s="75">
        <f t="shared" si="9"/>
        <v>17</v>
      </c>
      <c r="AC19" s="54">
        <v>21.66</v>
      </c>
      <c r="AD19" s="55">
        <v>10</v>
      </c>
      <c r="AE19" s="75">
        <f t="shared" si="10"/>
        <v>17</v>
      </c>
      <c r="AF19" s="54">
        <v>12.95</v>
      </c>
      <c r="AG19" s="55">
        <v>30</v>
      </c>
      <c r="AH19" s="75">
        <f t="shared" si="11"/>
        <v>17</v>
      </c>
      <c r="AI19" s="54"/>
      <c r="AJ19" s="55"/>
      <c r="AK19" s="67"/>
    </row>
    <row r="20" spans="1:37" s="49" customFormat="1" ht="11.25" x14ac:dyDescent="0.2">
      <c r="A20" s="73">
        <f t="shared" si="0"/>
        <v>18</v>
      </c>
      <c r="B20" s="54">
        <v>57</v>
      </c>
      <c r="C20" s="55">
        <v>1750</v>
      </c>
      <c r="D20" s="75">
        <f t="shared" si="1"/>
        <v>18</v>
      </c>
      <c r="E20" s="54"/>
      <c r="F20" s="55"/>
      <c r="G20" s="75">
        <f t="shared" si="2"/>
        <v>18</v>
      </c>
      <c r="H20" s="54">
        <v>5</v>
      </c>
      <c r="I20" s="55">
        <v>0</v>
      </c>
      <c r="J20" s="75">
        <f t="shared" si="3"/>
        <v>18</v>
      </c>
      <c r="K20" s="54">
        <v>26.03</v>
      </c>
      <c r="L20" s="55">
        <v>185</v>
      </c>
      <c r="M20" s="75">
        <f t="shared" si="4"/>
        <v>18</v>
      </c>
      <c r="N20" s="54">
        <v>17.21</v>
      </c>
      <c r="O20" s="55">
        <v>306</v>
      </c>
      <c r="P20" s="75">
        <f t="shared" si="5"/>
        <v>18</v>
      </c>
      <c r="Q20" s="54"/>
      <c r="R20" s="55"/>
      <c r="S20" s="75">
        <f t="shared" si="6"/>
        <v>18</v>
      </c>
      <c r="T20" s="54">
        <v>22.53</v>
      </c>
      <c r="U20" s="55">
        <v>377</v>
      </c>
      <c r="V20" s="75">
        <f t="shared" si="7"/>
        <v>18</v>
      </c>
      <c r="W20" s="54"/>
      <c r="X20" s="55"/>
      <c r="Y20" s="75">
        <f t="shared" si="8"/>
        <v>18</v>
      </c>
      <c r="Z20" s="54">
        <v>10.64</v>
      </c>
      <c r="AA20" s="55">
        <v>35</v>
      </c>
      <c r="AB20" s="75">
        <f t="shared" si="9"/>
        <v>18</v>
      </c>
      <c r="AC20" s="54">
        <v>45.35</v>
      </c>
      <c r="AD20" s="55">
        <v>680</v>
      </c>
      <c r="AE20" s="75">
        <f t="shared" si="10"/>
        <v>18</v>
      </c>
      <c r="AF20" s="54">
        <v>11.16</v>
      </c>
      <c r="AG20" s="55">
        <v>10</v>
      </c>
      <c r="AH20" s="75">
        <f t="shared" si="11"/>
        <v>18</v>
      </c>
      <c r="AI20" s="54">
        <v>11.89</v>
      </c>
      <c r="AJ20" s="55">
        <v>30</v>
      </c>
      <c r="AK20" s="67"/>
    </row>
    <row r="21" spans="1:37" s="49" customFormat="1" ht="11.25" x14ac:dyDescent="0.2">
      <c r="A21" s="73">
        <f t="shared" si="0"/>
        <v>19</v>
      </c>
      <c r="B21" s="54"/>
      <c r="C21" s="55"/>
      <c r="D21" s="75">
        <f t="shared" si="1"/>
        <v>19</v>
      </c>
      <c r="E21" s="54"/>
      <c r="F21" s="55"/>
      <c r="G21" s="75">
        <f t="shared" si="2"/>
        <v>19</v>
      </c>
      <c r="H21" s="54"/>
      <c r="I21" s="55"/>
      <c r="J21" s="75">
        <f t="shared" si="3"/>
        <v>19</v>
      </c>
      <c r="K21" s="54">
        <v>12.7</v>
      </c>
      <c r="L21" s="55">
        <v>0</v>
      </c>
      <c r="M21" s="75">
        <f t="shared" si="4"/>
        <v>19</v>
      </c>
      <c r="N21" s="54">
        <v>30.32</v>
      </c>
      <c r="O21" s="55">
        <v>15</v>
      </c>
      <c r="P21" s="75">
        <f t="shared" si="5"/>
        <v>19</v>
      </c>
      <c r="Q21" s="54">
        <v>37.21</v>
      </c>
      <c r="R21" s="55">
        <v>913</v>
      </c>
      <c r="S21" s="75">
        <f t="shared" si="6"/>
        <v>19</v>
      </c>
      <c r="T21" s="54">
        <v>29.72</v>
      </c>
      <c r="U21" s="55">
        <v>200</v>
      </c>
      <c r="V21" s="75">
        <f t="shared" si="7"/>
        <v>19</v>
      </c>
      <c r="W21" s="54"/>
      <c r="X21" s="55"/>
      <c r="Y21" s="75">
        <f t="shared" si="8"/>
        <v>19</v>
      </c>
      <c r="Z21" s="54">
        <v>20.86</v>
      </c>
      <c r="AA21" s="55">
        <v>15</v>
      </c>
      <c r="AB21" s="75">
        <f t="shared" si="9"/>
        <v>19</v>
      </c>
      <c r="AC21" s="54">
        <v>41.1</v>
      </c>
      <c r="AD21" s="55">
        <v>1005</v>
      </c>
      <c r="AE21" s="75">
        <f t="shared" si="10"/>
        <v>19</v>
      </c>
      <c r="AF21" s="54">
        <v>11.32</v>
      </c>
      <c r="AG21" s="55">
        <v>25</v>
      </c>
      <c r="AH21" s="75">
        <f t="shared" si="11"/>
        <v>19</v>
      </c>
      <c r="AI21" s="54">
        <v>13.68</v>
      </c>
      <c r="AJ21" s="55">
        <v>33</v>
      </c>
      <c r="AK21" s="67"/>
    </row>
    <row r="22" spans="1:37" s="49" customFormat="1" ht="11.25" x14ac:dyDescent="0.2">
      <c r="A22" s="73">
        <f t="shared" si="0"/>
        <v>20</v>
      </c>
      <c r="B22" s="54">
        <v>14.68</v>
      </c>
      <c r="C22" s="55">
        <v>20</v>
      </c>
      <c r="D22" s="75">
        <f t="shared" si="1"/>
        <v>20</v>
      </c>
      <c r="E22" s="54"/>
      <c r="F22" s="55"/>
      <c r="G22" s="75">
        <f t="shared" si="2"/>
        <v>20</v>
      </c>
      <c r="H22" s="54"/>
      <c r="I22" s="55"/>
      <c r="J22" s="75">
        <f t="shared" si="3"/>
        <v>20</v>
      </c>
      <c r="K22" s="54">
        <v>119.08</v>
      </c>
      <c r="L22" s="55">
        <v>940</v>
      </c>
      <c r="M22" s="75">
        <f t="shared" si="4"/>
        <v>20</v>
      </c>
      <c r="N22" s="54">
        <v>5</v>
      </c>
      <c r="O22" s="55">
        <v>0</v>
      </c>
      <c r="P22" s="75">
        <f t="shared" si="5"/>
        <v>20</v>
      </c>
      <c r="Q22" s="54">
        <v>10</v>
      </c>
      <c r="R22" s="55">
        <v>5</v>
      </c>
      <c r="S22" s="75">
        <f t="shared" si="6"/>
        <v>20</v>
      </c>
      <c r="T22" s="54">
        <v>51.58</v>
      </c>
      <c r="U22" s="55">
        <v>955</v>
      </c>
      <c r="V22" s="75">
        <f t="shared" si="7"/>
        <v>20</v>
      </c>
      <c r="W22" s="54">
        <v>20</v>
      </c>
      <c r="X22" s="55">
        <v>40</v>
      </c>
      <c r="Y22" s="75">
        <f t="shared" si="8"/>
        <v>20</v>
      </c>
      <c r="Z22" s="54">
        <v>28.25</v>
      </c>
      <c r="AA22" s="55">
        <v>503</v>
      </c>
      <c r="AB22" s="75">
        <f t="shared" si="9"/>
        <v>20</v>
      </c>
      <c r="AC22" s="54">
        <v>16.5</v>
      </c>
      <c r="AD22" s="55">
        <v>20</v>
      </c>
      <c r="AE22" s="75">
        <f t="shared" si="10"/>
        <v>20</v>
      </c>
      <c r="AF22" s="54">
        <v>13.45</v>
      </c>
      <c r="AG22" s="55">
        <v>5</v>
      </c>
      <c r="AH22" s="75">
        <f t="shared" si="11"/>
        <v>20</v>
      </c>
      <c r="AI22" s="54">
        <v>10</v>
      </c>
      <c r="AJ22" s="55">
        <v>13</v>
      </c>
      <c r="AK22" s="67"/>
    </row>
    <row r="23" spans="1:37" s="49" customFormat="1" ht="11.25" x14ac:dyDescent="0.2">
      <c r="A23" s="73">
        <f t="shared" si="0"/>
        <v>21</v>
      </c>
      <c r="B23" s="54">
        <v>12.21</v>
      </c>
      <c r="C23" s="55">
        <v>0</v>
      </c>
      <c r="D23" s="75">
        <f t="shared" si="1"/>
        <v>21</v>
      </c>
      <c r="E23" s="54"/>
      <c r="F23" s="55"/>
      <c r="G23" s="75">
        <f t="shared" si="2"/>
        <v>21</v>
      </c>
      <c r="H23" s="54"/>
      <c r="I23" s="55"/>
      <c r="J23" s="75">
        <f t="shared" si="3"/>
        <v>21</v>
      </c>
      <c r="K23" s="54">
        <v>25.65</v>
      </c>
      <c r="L23" s="55">
        <v>10</v>
      </c>
      <c r="M23" s="75">
        <f t="shared" si="4"/>
        <v>21</v>
      </c>
      <c r="N23" s="54">
        <v>20.46</v>
      </c>
      <c r="O23" s="55">
        <v>467</v>
      </c>
      <c r="P23" s="75">
        <f t="shared" si="5"/>
        <v>21</v>
      </c>
      <c r="Q23" s="54">
        <v>61.8</v>
      </c>
      <c r="R23" s="55">
        <v>1439</v>
      </c>
      <c r="S23" s="75">
        <f t="shared" si="6"/>
        <v>21</v>
      </c>
      <c r="T23" s="54">
        <v>17.7</v>
      </c>
      <c r="U23" s="55">
        <v>10</v>
      </c>
      <c r="V23" s="75">
        <f t="shared" si="7"/>
        <v>21</v>
      </c>
      <c r="W23" s="54">
        <v>30</v>
      </c>
      <c r="X23" s="55">
        <v>450</v>
      </c>
      <c r="Y23" s="75">
        <f t="shared" si="8"/>
        <v>21</v>
      </c>
      <c r="Z23" s="54">
        <v>32.94</v>
      </c>
      <c r="AA23" s="55">
        <v>130</v>
      </c>
      <c r="AB23" s="75">
        <f t="shared" si="9"/>
        <v>21</v>
      </c>
      <c r="AC23" s="54"/>
      <c r="AD23" s="55"/>
      <c r="AE23" s="75">
        <f t="shared" si="10"/>
        <v>21</v>
      </c>
      <c r="AF23" s="54">
        <v>11.04</v>
      </c>
      <c r="AG23" s="55">
        <v>5</v>
      </c>
      <c r="AH23" s="75">
        <f t="shared" si="11"/>
        <v>21</v>
      </c>
      <c r="AI23" s="54">
        <v>28.96</v>
      </c>
      <c r="AJ23" s="55">
        <v>439</v>
      </c>
      <c r="AK23" s="67"/>
    </row>
    <row r="24" spans="1:37" s="49" customFormat="1" ht="11.25" x14ac:dyDescent="0.2">
      <c r="A24" s="73">
        <f t="shared" si="0"/>
        <v>22</v>
      </c>
      <c r="B24" s="54"/>
      <c r="C24" s="55"/>
      <c r="D24" s="75">
        <f t="shared" si="1"/>
        <v>22</v>
      </c>
      <c r="E24" s="54"/>
      <c r="F24" s="55"/>
      <c r="G24" s="75">
        <f t="shared" si="2"/>
        <v>22</v>
      </c>
      <c r="H24" s="54">
        <v>6.33</v>
      </c>
      <c r="I24" s="55">
        <v>6</v>
      </c>
      <c r="J24" s="75">
        <f t="shared" si="3"/>
        <v>22</v>
      </c>
      <c r="K24" s="54">
        <v>11.16</v>
      </c>
      <c r="L24" s="55">
        <v>30</v>
      </c>
      <c r="M24" s="75">
        <f t="shared" si="4"/>
        <v>22</v>
      </c>
      <c r="N24" s="54">
        <v>40.46</v>
      </c>
      <c r="O24" s="55">
        <v>734</v>
      </c>
      <c r="P24" s="75">
        <f t="shared" si="5"/>
        <v>22</v>
      </c>
      <c r="Q24" s="54">
        <v>10.58</v>
      </c>
      <c r="R24" s="55">
        <v>5</v>
      </c>
      <c r="S24" s="75">
        <f t="shared" si="6"/>
        <v>22</v>
      </c>
      <c r="T24" s="54"/>
      <c r="U24" s="55"/>
      <c r="V24" s="75">
        <f t="shared" si="7"/>
        <v>22</v>
      </c>
      <c r="W24" s="54">
        <v>24.67</v>
      </c>
      <c r="X24" s="55">
        <v>535</v>
      </c>
      <c r="Y24" s="75">
        <f t="shared" si="8"/>
        <v>22</v>
      </c>
      <c r="Z24" s="54">
        <v>19.940000000000001</v>
      </c>
      <c r="AA24" s="55">
        <v>50</v>
      </c>
      <c r="AB24" s="75">
        <f t="shared" si="9"/>
        <v>22</v>
      </c>
      <c r="AC24" s="54"/>
      <c r="AD24" s="55"/>
      <c r="AE24" s="75">
        <f t="shared" si="10"/>
        <v>22</v>
      </c>
      <c r="AF24" s="54">
        <v>54.73</v>
      </c>
      <c r="AG24" s="55">
        <v>359</v>
      </c>
      <c r="AH24" s="75">
        <f t="shared" si="11"/>
        <v>22</v>
      </c>
      <c r="AI24" s="54"/>
      <c r="AJ24" s="55"/>
      <c r="AK24" s="67"/>
    </row>
    <row r="25" spans="1:37" s="49" customFormat="1" ht="11.25" x14ac:dyDescent="0.2">
      <c r="A25" s="73">
        <f t="shared" si="0"/>
        <v>23</v>
      </c>
      <c r="B25" s="54">
        <v>5.2</v>
      </c>
      <c r="C25" s="55">
        <v>0</v>
      </c>
      <c r="D25" s="75">
        <f t="shared" si="1"/>
        <v>23</v>
      </c>
      <c r="E25" s="54"/>
      <c r="F25" s="55"/>
      <c r="G25" s="75">
        <f t="shared" si="2"/>
        <v>23</v>
      </c>
      <c r="H25" s="54"/>
      <c r="I25" s="55"/>
      <c r="J25" s="75">
        <f t="shared" si="3"/>
        <v>23</v>
      </c>
      <c r="K25" s="54">
        <v>32.35</v>
      </c>
      <c r="L25" s="55">
        <v>350</v>
      </c>
      <c r="M25" s="75">
        <f t="shared" si="4"/>
        <v>23</v>
      </c>
      <c r="N25" s="54">
        <v>48.99</v>
      </c>
      <c r="O25" s="55">
        <v>746</v>
      </c>
      <c r="P25" s="75">
        <f t="shared" si="5"/>
        <v>23</v>
      </c>
      <c r="Q25" s="54">
        <v>43.19</v>
      </c>
      <c r="R25" s="55">
        <v>20</v>
      </c>
      <c r="S25" s="75">
        <f t="shared" si="6"/>
        <v>23</v>
      </c>
      <c r="T25" s="54">
        <v>26.2</v>
      </c>
      <c r="U25" s="55">
        <v>383</v>
      </c>
      <c r="V25" s="75">
        <f t="shared" si="7"/>
        <v>23</v>
      </c>
      <c r="W25" s="54">
        <v>28.78</v>
      </c>
      <c r="X25" s="55">
        <v>390</v>
      </c>
      <c r="Y25" s="75">
        <f t="shared" si="8"/>
        <v>23</v>
      </c>
      <c r="Z25" s="54">
        <v>17.61</v>
      </c>
      <c r="AA25" s="55">
        <v>80</v>
      </c>
      <c r="AB25" s="75">
        <f t="shared" si="9"/>
        <v>23</v>
      </c>
      <c r="AC25" s="54">
        <v>13.88</v>
      </c>
      <c r="AD25" s="55">
        <v>110</v>
      </c>
      <c r="AE25" s="75">
        <f t="shared" si="10"/>
        <v>23</v>
      </c>
      <c r="AF25" s="54">
        <v>32.53</v>
      </c>
      <c r="AG25" s="55">
        <v>20</v>
      </c>
      <c r="AH25" s="75">
        <f t="shared" si="11"/>
        <v>23</v>
      </c>
      <c r="AI25" s="54"/>
      <c r="AJ25" s="55"/>
      <c r="AK25" s="67"/>
    </row>
    <row r="26" spans="1:37" s="49" customFormat="1" ht="11.25" x14ac:dyDescent="0.2">
      <c r="A26" s="73">
        <f t="shared" si="0"/>
        <v>24</v>
      </c>
      <c r="B26" s="54">
        <v>11.89</v>
      </c>
      <c r="C26" s="55">
        <v>25</v>
      </c>
      <c r="D26" s="75">
        <f t="shared" si="1"/>
        <v>24</v>
      </c>
      <c r="E26" s="54">
        <v>21</v>
      </c>
      <c r="F26" s="55">
        <v>51</v>
      </c>
      <c r="G26" s="75">
        <f t="shared" si="2"/>
        <v>24</v>
      </c>
      <c r="H26" s="54"/>
      <c r="I26" s="55"/>
      <c r="J26" s="75">
        <f t="shared" si="3"/>
        <v>24</v>
      </c>
      <c r="K26" s="54">
        <v>11.58</v>
      </c>
      <c r="L26" s="55">
        <v>31</v>
      </c>
      <c r="M26" s="75">
        <f t="shared" si="4"/>
        <v>24</v>
      </c>
      <c r="N26" s="54">
        <v>31.16</v>
      </c>
      <c r="O26" s="55">
        <v>439</v>
      </c>
      <c r="P26" s="75">
        <f t="shared" si="5"/>
        <v>24</v>
      </c>
      <c r="Q26" s="54">
        <v>47.61</v>
      </c>
      <c r="R26" s="55">
        <v>395</v>
      </c>
      <c r="S26" s="75">
        <f t="shared" si="6"/>
        <v>24</v>
      </c>
      <c r="T26" s="54">
        <v>27.96</v>
      </c>
      <c r="U26" s="55">
        <v>439</v>
      </c>
      <c r="V26" s="75">
        <f t="shared" si="7"/>
        <v>24</v>
      </c>
      <c r="W26" s="54">
        <v>28.94</v>
      </c>
      <c r="X26" s="55">
        <v>567</v>
      </c>
      <c r="Y26" s="75">
        <f t="shared" si="8"/>
        <v>24</v>
      </c>
      <c r="Z26" s="54">
        <v>18.3</v>
      </c>
      <c r="AA26" s="55">
        <v>360</v>
      </c>
      <c r="AB26" s="75">
        <f t="shared" si="9"/>
        <v>24</v>
      </c>
      <c r="AC26" s="54">
        <v>14.09</v>
      </c>
      <c r="AD26" s="55">
        <v>80</v>
      </c>
      <c r="AE26" s="75">
        <f t="shared" si="10"/>
        <v>24</v>
      </c>
      <c r="AF26" s="54">
        <v>11.89</v>
      </c>
      <c r="AG26" s="55">
        <v>6</v>
      </c>
      <c r="AH26" s="75">
        <f t="shared" si="11"/>
        <v>24</v>
      </c>
      <c r="AI26" s="54">
        <v>21.45</v>
      </c>
      <c r="AJ26" s="55">
        <v>63</v>
      </c>
      <c r="AK26" s="67"/>
    </row>
    <row r="27" spans="1:37" s="49" customFormat="1" ht="11.25" x14ac:dyDescent="0.2">
      <c r="A27" s="73">
        <f t="shared" si="0"/>
        <v>25</v>
      </c>
      <c r="B27" s="54">
        <v>20.25</v>
      </c>
      <c r="C27" s="55">
        <v>10</v>
      </c>
      <c r="D27" s="75">
        <f t="shared" si="1"/>
        <v>25</v>
      </c>
      <c r="E27" s="54"/>
      <c r="F27" s="55"/>
      <c r="G27" s="75">
        <f t="shared" si="2"/>
        <v>25</v>
      </c>
      <c r="H27" s="54"/>
      <c r="I27" s="55"/>
      <c r="J27" s="75">
        <f t="shared" si="3"/>
        <v>25</v>
      </c>
      <c r="K27" s="54">
        <v>15.23</v>
      </c>
      <c r="L27" s="55">
        <v>27</v>
      </c>
      <c r="M27" s="75">
        <f t="shared" si="4"/>
        <v>25</v>
      </c>
      <c r="N27" s="54">
        <v>52.4</v>
      </c>
      <c r="O27" s="55">
        <v>557</v>
      </c>
      <c r="P27" s="75">
        <f t="shared" si="5"/>
        <v>25</v>
      </c>
      <c r="Q27" s="54">
        <v>22.24</v>
      </c>
      <c r="R27" s="55">
        <v>260</v>
      </c>
      <c r="S27" s="75">
        <f t="shared" si="6"/>
        <v>25</v>
      </c>
      <c r="T27" s="54">
        <v>24.99</v>
      </c>
      <c r="U27" s="55">
        <v>336</v>
      </c>
      <c r="V27" s="75">
        <f t="shared" si="7"/>
        <v>25</v>
      </c>
      <c r="W27" s="54">
        <v>12.96</v>
      </c>
      <c r="X27" s="55">
        <v>0</v>
      </c>
      <c r="Y27" s="75">
        <f t="shared" si="8"/>
        <v>25</v>
      </c>
      <c r="Z27" s="54">
        <v>11.01</v>
      </c>
      <c r="AA27" s="55">
        <v>30</v>
      </c>
      <c r="AB27" s="75">
        <f t="shared" si="9"/>
        <v>25</v>
      </c>
      <c r="AC27" s="54">
        <v>32.049999999999997</v>
      </c>
      <c r="AD27" s="55">
        <v>500</v>
      </c>
      <c r="AE27" s="75">
        <f t="shared" si="10"/>
        <v>25</v>
      </c>
      <c r="AF27" s="54">
        <v>16.850000000000001</v>
      </c>
      <c r="AG27" s="55">
        <v>5</v>
      </c>
      <c r="AH27" s="75">
        <f t="shared" si="11"/>
        <v>25</v>
      </c>
      <c r="AK27" s="67"/>
    </row>
    <row r="28" spans="1:37" s="49" customFormat="1" ht="11.25" x14ac:dyDescent="0.2">
      <c r="A28" s="73">
        <f t="shared" si="0"/>
        <v>26</v>
      </c>
      <c r="B28" s="54">
        <v>63.72</v>
      </c>
      <c r="C28" s="55">
        <v>45</v>
      </c>
      <c r="D28" s="75">
        <f t="shared" si="1"/>
        <v>26</v>
      </c>
      <c r="E28" s="54">
        <v>10.7</v>
      </c>
      <c r="F28" s="55">
        <v>30</v>
      </c>
      <c r="G28" s="75">
        <f t="shared" si="2"/>
        <v>26</v>
      </c>
      <c r="H28" s="54"/>
      <c r="I28" s="55"/>
      <c r="J28" s="75">
        <f t="shared" si="3"/>
        <v>26</v>
      </c>
      <c r="K28" s="54">
        <v>31.24</v>
      </c>
      <c r="L28" s="55">
        <v>201</v>
      </c>
      <c r="M28" s="75">
        <f t="shared" si="4"/>
        <v>26</v>
      </c>
      <c r="N28" s="54">
        <v>21.93</v>
      </c>
      <c r="O28" s="55">
        <v>16</v>
      </c>
      <c r="P28" s="75">
        <f t="shared" si="5"/>
        <v>26</v>
      </c>
      <c r="Q28" s="54">
        <v>41.75</v>
      </c>
      <c r="R28" s="55">
        <v>490</v>
      </c>
      <c r="S28" s="75">
        <f t="shared" si="6"/>
        <v>26</v>
      </c>
      <c r="T28" s="54">
        <v>59.32</v>
      </c>
      <c r="U28" s="55">
        <v>570</v>
      </c>
      <c r="V28" s="75">
        <f t="shared" si="7"/>
        <v>26</v>
      </c>
      <c r="W28" s="54"/>
      <c r="X28" s="55"/>
      <c r="Y28" s="75">
        <f t="shared" si="8"/>
        <v>26</v>
      </c>
      <c r="Z28" s="54">
        <v>23.97</v>
      </c>
      <c r="AA28" s="55">
        <v>20</v>
      </c>
      <c r="AB28" s="75">
        <f t="shared" si="9"/>
        <v>26</v>
      </c>
      <c r="AC28" s="54">
        <v>38.33</v>
      </c>
      <c r="AD28" s="55">
        <v>452</v>
      </c>
      <c r="AE28" s="75">
        <f t="shared" si="10"/>
        <v>26</v>
      </c>
      <c r="AF28" s="54">
        <v>15.85</v>
      </c>
      <c r="AG28" s="55">
        <v>30</v>
      </c>
      <c r="AH28" s="75">
        <f t="shared" si="11"/>
        <v>26</v>
      </c>
      <c r="AI28" s="54">
        <v>13.62</v>
      </c>
      <c r="AJ28" s="55">
        <v>13</v>
      </c>
      <c r="AK28" s="67"/>
    </row>
    <row r="29" spans="1:37" s="49" customFormat="1" ht="11.25" x14ac:dyDescent="0.2">
      <c r="A29" s="73">
        <f t="shared" si="0"/>
        <v>27</v>
      </c>
      <c r="B29" s="54">
        <v>37.44</v>
      </c>
      <c r="C29" s="55">
        <v>25</v>
      </c>
      <c r="D29" s="75">
        <f t="shared" si="1"/>
        <v>27</v>
      </c>
      <c r="E29" s="54"/>
      <c r="F29" s="55"/>
      <c r="G29" s="75">
        <f t="shared" si="2"/>
        <v>27</v>
      </c>
      <c r="H29" s="54"/>
      <c r="I29" s="55"/>
      <c r="J29" s="75">
        <f t="shared" si="3"/>
        <v>27</v>
      </c>
      <c r="K29" s="54">
        <v>207</v>
      </c>
      <c r="L29" s="55">
        <v>220</v>
      </c>
      <c r="M29" s="75">
        <f t="shared" si="4"/>
        <v>27</v>
      </c>
      <c r="N29" s="54">
        <v>21.9</v>
      </c>
      <c r="O29" s="55">
        <v>5</v>
      </c>
      <c r="P29" s="75">
        <f t="shared" si="5"/>
        <v>27</v>
      </c>
      <c r="Q29" s="54">
        <v>26.98</v>
      </c>
      <c r="R29" s="55">
        <v>404</v>
      </c>
      <c r="S29" s="75">
        <f t="shared" si="6"/>
        <v>27</v>
      </c>
      <c r="T29" s="54">
        <v>32.299999999999997</v>
      </c>
      <c r="U29" s="55">
        <v>380</v>
      </c>
      <c r="V29" s="75">
        <f t="shared" si="7"/>
        <v>27</v>
      </c>
      <c r="W29" s="54">
        <v>37.53</v>
      </c>
      <c r="X29" s="55">
        <v>25</v>
      </c>
      <c r="Y29" s="75">
        <f t="shared" si="8"/>
        <v>27</v>
      </c>
      <c r="Z29" s="54">
        <v>59.59</v>
      </c>
      <c r="AA29" s="55">
        <v>818</v>
      </c>
      <c r="AB29" s="75">
        <f t="shared" si="9"/>
        <v>27</v>
      </c>
      <c r="AC29" s="54"/>
      <c r="AD29" s="55"/>
      <c r="AE29" s="75">
        <f t="shared" si="10"/>
        <v>27</v>
      </c>
      <c r="AF29" s="54"/>
      <c r="AG29" s="55"/>
      <c r="AH29" s="75">
        <f t="shared" si="11"/>
        <v>27</v>
      </c>
      <c r="AI29" s="54">
        <v>10.55</v>
      </c>
      <c r="AJ29" s="55">
        <v>0</v>
      </c>
      <c r="AK29" s="67"/>
    </row>
    <row r="30" spans="1:37" s="49" customFormat="1" ht="11.25" x14ac:dyDescent="0.2">
      <c r="A30" s="73">
        <f t="shared" si="0"/>
        <v>28</v>
      </c>
      <c r="B30" s="54"/>
      <c r="C30" s="55"/>
      <c r="D30" s="75">
        <f t="shared" si="1"/>
        <v>28</v>
      </c>
      <c r="E30" s="54"/>
      <c r="F30" s="55"/>
      <c r="G30" s="75">
        <f t="shared" si="2"/>
        <v>28</v>
      </c>
      <c r="H30" s="54">
        <v>21.78</v>
      </c>
      <c r="I30" s="55">
        <v>179</v>
      </c>
      <c r="J30" s="75">
        <f t="shared" si="3"/>
        <v>28</v>
      </c>
      <c r="K30" s="54"/>
      <c r="L30" s="55"/>
      <c r="M30" s="75">
        <f t="shared" si="4"/>
        <v>28</v>
      </c>
      <c r="N30" s="54">
        <v>40.61</v>
      </c>
      <c r="O30" s="55">
        <v>20</v>
      </c>
      <c r="P30" s="75">
        <f t="shared" si="5"/>
        <v>28</v>
      </c>
      <c r="Q30" s="54">
        <v>53.2</v>
      </c>
      <c r="R30" s="55">
        <v>755</v>
      </c>
      <c r="S30" s="75">
        <f t="shared" si="6"/>
        <v>28</v>
      </c>
      <c r="T30" s="54">
        <v>76.33</v>
      </c>
      <c r="U30" s="55">
        <v>1018</v>
      </c>
      <c r="V30" s="75">
        <f t="shared" si="7"/>
        <v>28</v>
      </c>
      <c r="W30" s="54">
        <v>11.36</v>
      </c>
      <c r="X30" s="55">
        <v>45</v>
      </c>
      <c r="Y30" s="75">
        <f t="shared" si="8"/>
        <v>28</v>
      </c>
      <c r="Z30" s="54">
        <v>42.88</v>
      </c>
      <c r="AA30" s="55">
        <v>598</v>
      </c>
      <c r="AB30" s="75">
        <f t="shared" si="9"/>
        <v>28</v>
      </c>
      <c r="AC30" s="54">
        <v>15.86</v>
      </c>
      <c r="AD30" s="55">
        <v>30</v>
      </c>
      <c r="AE30" s="75">
        <f t="shared" si="10"/>
        <v>28</v>
      </c>
      <c r="AF30" s="54">
        <v>14.84</v>
      </c>
      <c r="AG30" s="55">
        <v>310</v>
      </c>
      <c r="AH30" s="75">
        <f t="shared" si="11"/>
        <v>28</v>
      </c>
      <c r="AI30" s="54">
        <v>37.159999999999997</v>
      </c>
      <c r="AJ30" s="55">
        <v>461</v>
      </c>
      <c r="AK30" s="67"/>
    </row>
    <row r="31" spans="1:37" s="49" customFormat="1" ht="11.25" x14ac:dyDescent="0.2">
      <c r="A31" s="73">
        <f t="shared" si="0"/>
        <v>29</v>
      </c>
      <c r="B31" s="54"/>
      <c r="C31" s="55"/>
      <c r="D31" s="75">
        <f t="shared" si="1"/>
        <v>29</v>
      </c>
      <c r="E31" s="54"/>
      <c r="F31" s="55"/>
      <c r="G31" s="75">
        <f t="shared" si="2"/>
        <v>29</v>
      </c>
      <c r="H31" s="54">
        <v>45.7</v>
      </c>
      <c r="I31" s="55">
        <v>507</v>
      </c>
      <c r="J31" s="75">
        <f t="shared" si="3"/>
        <v>29</v>
      </c>
      <c r="K31" s="54">
        <v>21.82</v>
      </c>
      <c r="L31" s="55">
        <v>10</v>
      </c>
      <c r="M31" s="75">
        <f t="shared" si="4"/>
        <v>29</v>
      </c>
      <c r="N31" s="54">
        <v>21.91</v>
      </c>
      <c r="O31" s="55">
        <v>15</v>
      </c>
      <c r="P31" s="75">
        <f t="shared" si="5"/>
        <v>29</v>
      </c>
      <c r="Q31" s="54">
        <v>23.13</v>
      </c>
      <c r="R31" s="55">
        <v>60</v>
      </c>
      <c r="S31" s="75">
        <f t="shared" si="6"/>
        <v>29</v>
      </c>
      <c r="T31" s="54">
        <v>35.74</v>
      </c>
      <c r="U31" s="55">
        <v>900</v>
      </c>
      <c r="V31" s="75">
        <f t="shared" si="7"/>
        <v>29</v>
      </c>
      <c r="W31" s="54">
        <v>11.71</v>
      </c>
      <c r="X31" s="55">
        <v>20</v>
      </c>
      <c r="Y31" s="75">
        <f t="shared" si="8"/>
        <v>29</v>
      </c>
      <c r="Z31" s="54">
        <v>10.53</v>
      </c>
      <c r="AA31" s="55">
        <v>30</v>
      </c>
      <c r="AB31" s="75">
        <f t="shared" si="9"/>
        <v>29</v>
      </c>
      <c r="AC31" s="54"/>
      <c r="AD31" s="55"/>
      <c r="AE31" s="75">
        <f t="shared" si="10"/>
        <v>29</v>
      </c>
      <c r="AF31" s="54">
        <v>33.75</v>
      </c>
      <c r="AG31" s="55">
        <v>75</v>
      </c>
      <c r="AH31" s="75">
        <f t="shared" si="11"/>
        <v>29</v>
      </c>
      <c r="AI31" s="54">
        <v>15.39</v>
      </c>
      <c r="AJ31" s="55">
        <v>30</v>
      </c>
      <c r="AK31" s="67"/>
    </row>
    <row r="32" spans="1:37" s="49" customFormat="1" ht="11.25" x14ac:dyDescent="0.2">
      <c r="A32" s="73">
        <f t="shared" si="0"/>
        <v>30</v>
      </c>
      <c r="B32" s="54">
        <v>20.25</v>
      </c>
      <c r="C32" s="55">
        <v>10</v>
      </c>
      <c r="D32" s="75"/>
      <c r="E32" s="54"/>
      <c r="F32" s="55"/>
      <c r="G32" s="75">
        <f t="shared" si="2"/>
        <v>30</v>
      </c>
      <c r="H32" s="54">
        <v>79.290000000000006</v>
      </c>
      <c r="I32" s="55">
        <v>590</v>
      </c>
      <c r="J32" s="75">
        <f t="shared" si="3"/>
        <v>30</v>
      </c>
      <c r="K32" s="54">
        <v>5.42</v>
      </c>
      <c r="L32" s="55">
        <v>0</v>
      </c>
      <c r="M32" s="75">
        <f t="shared" si="4"/>
        <v>30</v>
      </c>
      <c r="N32" s="54">
        <v>27.28</v>
      </c>
      <c r="O32" s="55">
        <v>333</v>
      </c>
      <c r="P32" s="75">
        <f t="shared" si="5"/>
        <v>30</v>
      </c>
      <c r="Q32" s="54">
        <v>31.47</v>
      </c>
      <c r="R32" s="55">
        <v>175</v>
      </c>
      <c r="S32" s="75">
        <f t="shared" si="6"/>
        <v>30</v>
      </c>
      <c r="T32" s="54">
        <v>20.96</v>
      </c>
      <c r="U32" s="55">
        <v>30</v>
      </c>
      <c r="V32" s="75">
        <f t="shared" si="7"/>
        <v>30</v>
      </c>
      <c r="W32" s="54">
        <v>52.49</v>
      </c>
      <c r="X32" s="55">
        <v>850</v>
      </c>
      <c r="Y32" s="75">
        <f t="shared" si="8"/>
        <v>30</v>
      </c>
      <c r="Z32" s="54">
        <v>20.149999999999999</v>
      </c>
      <c r="AA32" s="55">
        <v>50</v>
      </c>
      <c r="AB32" s="75">
        <f t="shared" si="9"/>
        <v>30</v>
      </c>
      <c r="AC32" s="54"/>
      <c r="AD32" s="55"/>
      <c r="AE32" s="75">
        <f t="shared" si="10"/>
        <v>30</v>
      </c>
      <c r="AF32" s="54">
        <v>17.690000000000001</v>
      </c>
      <c r="AG32" s="55">
        <v>546</v>
      </c>
      <c r="AH32" s="75">
        <f t="shared" si="11"/>
        <v>30</v>
      </c>
      <c r="AI32" s="54">
        <v>16.73</v>
      </c>
      <c r="AJ32" s="55">
        <v>29</v>
      </c>
      <c r="AK32" s="67"/>
    </row>
    <row r="33" spans="1:37" s="49" customFormat="1" ht="11.25" x14ac:dyDescent="0.2">
      <c r="A33" s="74">
        <f t="shared" si="0"/>
        <v>31</v>
      </c>
      <c r="B33" s="62">
        <v>10.71</v>
      </c>
      <c r="C33" s="63">
        <v>85</v>
      </c>
      <c r="D33" s="76"/>
      <c r="E33" s="62"/>
      <c r="F33" s="63"/>
      <c r="G33" s="76">
        <f t="shared" si="2"/>
        <v>31</v>
      </c>
      <c r="H33" s="62">
        <v>21.86</v>
      </c>
      <c r="I33" s="63">
        <v>5</v>
      </c>
      <c r="J33" s="76"/>
      <c r="K33" s="62"/>
      <c r="L33" s="63"/>
      <c r="M33" s="76">
        <f t="shared" si="4"/>
        <v>31</v>
      </c>
      <c r="N33" s="62">
        <v>34.94</v>
      </c>
      <c r="O33" s="63">
        <v>402</v>
      </c>
      <c r="P33" s="76"/>
      <c r="Q33" s="62"/>
      <c r="R33" s="63"/>
      <c r="S33" s="76">
        <f t="shared" si="6"/>
        <v>31</v>
      </c>
      <c r="T33" s="62">
        <v>92.24</v>
      </c>
      <c r="U33" s="63">
        <v>602</v>
      </c>
      <c r="V33" s="76">
        <f t="shared" si="7"/>
        <v>31</v>
      </c>
      <c r="W33" s="62"/>
      <c r="X33" s="63"/>
      <c r="Y33" s="76"/>
      <c r="Z33" s="62"/>
      <c r="AA33" s="63"/>
      <c r="AB33" s="76">
        <f t="shared" si="9"/>
        <v>31</v>
      </c>
      <c r="AC33" s="62">
        <v>27.72</v>
      </c>
      <c r="AD33" s="63">
        <v>60</v>
      </c>
      <c r="AE33" s="76"/>
      <c r="AF33" s="62"/>
      <c r="AG33" s="63"/>
      <c r="AH33" s="76">
        <f t="shared" si="11"/>
        <v>31</v>
      </c>
      <c r="AI33" s="62">
        <v>10.44</v>
      </c>
      <c r="AJ33" s="63">
        <v>13</v>
      </c>
      <c r="AK33" s="67"/>
    </row>
    <row r="34" spans="1:37" s="49" customFormat="1" ht="11.25" x14ac:dyDescent="0.2">
      <c r="A34" s="45" t="s">
        <v>92</v>
      </c>
      <c r="B34" s="47">
        <f>SUM(B3:B33)</f>
        <v>454.17999999999995</v>
      </c>
      <c r="C34" s="48">
        <f>SUM(C3:C33)</f>
        <v>5341</v>
      </c>
      <c r="D34" s="65"/>
      <c r="E34" s="47">
        <f>SUM(E3:E33)</f>
        <v>425.59</v>
      </c>
      <c r="F34" s="48">
        <f>SUM(F3:F33)</f>
        <v>717</v>
      </c>
      <c r="G34" s="65"/>
      <c r="H34" s="47">
        <f>SUM(H3:H33)</f>
        <v>319.42</v>
      </c>
      <c r="I34" s="48">
        <f>SUM(I3:I33)</f>
        <v>2037</v>
      </c>
      <c r="J34" s="77"/>
      <c r="K34" s="47">
        <f>SUM(K3:K33)</f>
        <v>745.56999999999994</v>
      </c>
      <c r="L34" s="48">
        <f>SUM(L3:L33)</f>
        <v>3363</v>
      </c>
      <c r="M34" s="65"/>
      <c r="N34" s="47">
        <f>SUM(N3:N33)</f>
        <v>848.03</v>
      </c>
      <c r="O34" s="48">
        <f>SUM(O3:O33)</f>
        <v>10231</v>
      </c>
      <c r="P34" s="65"/>
      <c r="Q34" s="47">
        <f>SUM(Q3:Q33)</f>
        <v>1014.3200000000002</v>
      </c>
      <c r="R34" s="48">
        <f>SUM(R3:R33)</f>
        <v>11209</v>
      </c>
      <c r="S34" s="65"/>
      <c r="T34" s="47">
        <f>SUM(T3:T33)</f>
        <v>817.33000000000015</v>
      </c>
      <c r="U34" s="48">
        <f>SUM(U3:U33)</f>
        <v>9536</v>
      </c>
      <c r="V34" s="65"/>
      <c r="W34" s="47">
        <f>SUM(W3:W33)</f>
        <v>678.3900000000001</v>
      </c>
      <c r="X34" s="48">
        <f>SUM(X3:X33)</f>
        <v>7494</v>
      </c>
      <c r="Y34" s="65"/>
      <c r="Z34" s="47">
        <f>SUM(Z3:Z33)</f>
        <v>661.35</v>
      </c>
      <c r="AA34" s="48">
        <f>SUM(AA3:AA33)</f>
        <v>7099</v>
      </c>
      <c r="AB34" s="65"/>
      <c r="AC34" s="47">
        <f>SUM(AC3:AC33)</f>
        <v>606.47</v>
      </c>
      <c r="AD34" s="48">
        <f>SUM(AD3:AD33)</f>
        <v>5704</v>
      </c>
      <c r="AE34" s="65"/>
      <c r="AF34" s="47">
        <f>SUM(AF3:AF33)</f>
        <v>597.97000000000014</v>
      </c>
      <c r="AG34" s="48">
        <f>SUM(AG3:AG33)</f>
        <v>3608</v>
      </c>
      <c r="AH34" s="65"/>
      <c r="AI34" s="47">
        <f>SUM(AI3:AI33)</f>
        <v>339.71999999999997</v>
      </c>
      <c r="AJ34" s="48">
        <f>SUM(AJ3:AJ33)</f>
        <v>3961</v>
      </c>
      <c r="AK34" s="67"/>
    </row>
    <row r="35" spans="1:37" s="52" customFormat="1" ht="11.25" x14ac:dyDescent="0.2">
      <c r="A35" s="46" t="s">
        <v>93</v>
      </c>
      <c r="B35" s="50">
        <f>B34</f>
        <v>454.17999999999995</v>
      </c>
      <c r="C35" s="51">
        <f>C34</f>
        <v>5341</v>
      </c>
      <c r="D35" s="66"/>
      <c r="E35" s="50">
        <f>E34+B35</f>
        <v>879.77</v>
      </c>
      <c r="F35" s="51">
        <f>F34+C35</f>
        <v>6058</v>
      </c>
      <c r="G35" s="66"/>
      <c r="H35" s="50">
        <f>H34+E35</f>
        <v>1199.19</v>
      </c>
      <c r="I35" s="51">
        <f>I34+F35</f>
        <v>8095</v>
      </c>
      <c r="J35" s="66"/>
      <c r="K35" s="50">
        <f>K34+H35</f>
        <v>1944.76</v>
      </c>
      <c r="L35" s="51">
        <f>L34+I35</f>
        <v>11458</v>
      </c>
      <c r="M35" s="66"/>
      <c r="N35" s="50">
        <f>N34+K35</f>
        <v>2792.79</v>
      </c>
      <c r="O35" s="51">
        <f>O34+L35</f>
        <v>21689</v>
      </c>
      <c r="P35" s="66"/>
      <c r="Q35" s="50">
        <f>Q34+N35</f>
        <v>3807.11</v>
      </c>
      <c r="R35" s="51">
        <f>R34+O35</f>
        <v>32898</v>
      </c>
      <c r="S35" s="66"/>
      <c r="T35" s="50">
        <f>T34+Q35</f>
        <v>4624.4400000000005</v>
      </c>
      <c r="U35" s="51">
        <f>U34+R35</f>
        <v>42434</v>
      </c>
      <c r="V35" s="66"/>
      <c r="W35" s="50">
        <f>W34+T35</f>
        <v>5302.8300000000008</v>
      </c>
      <c r="X35" s="51">
        <f>X34+U35</f>
        <v>49928</v>
      </c>
      <c r="Y35" s="66"/>
      <c r="Z35" s="50">
        <f>Z34+W35</f>
        <v>5964.1800000000012</v>
      </c>
      <c r="AA35" s="51">
        <f>AA34+X35</f>
        <v>57027</v>
      </c>
      <c r="AB35" s="66"/>
      <c r="AC35" s="50">
        <f>AC34+Z35</f>
        <v>6570.6500000000015</v>
      </c>
      <c r="AD35" s="51">
        <f>AD34+AA35</f>
        <v>62731</v>
      </c>
      <c r="AE35" s="66"/>
      <c r="AF35" s="50">
        <f>AF34+AC35</f>
        <v>7168.6200000000017</v>
      </c>
      <c r="AG35" s="51">
        <f>AG34+AD35</f>
        <v>66339</v>
      </c>
      <c r="AH35" s="66"/>
      <c r="AI35" s="50">
        <f>AI34+AF35</f>
        <v>7508.340000000002</v>
      </c>
      <c r="AJ35" s="51">
        <f>AJ34+AG35</f>
        <v>70300</v>
      </c>
      <c r="AK35" s="92"/>
    </row>
    <row r="36" spans="1:37" s="113" customFormat="1" x14ac:dyDescent="0.2">
      <c r="A36" s="45" t="s">
        <v>154</v>
      </c>
      <c r="D36" s="162"/>
      <c r="G36" s="162"/>
      <c r="H36" s="47">
        <f>SUM(B34,E34,H34)</f>
        <v>1199.19</v>
      </c>
      <c r="I36" s="48">
        <f>SUM(C34,F34,I34)</f>
        <v>8095</v>
      </c>
      <c r="J36" s="162"/>
      <c r="M36" s="162"/>
      <c r="P36" s="162"/>
      <c r="Q36" s="47">
        <f>SUM(K34,N34,Q34)</f>
        <v>2607.92</v>
      </c>
      <c r="R36" s="48">
        <f>SUM(L34,O34,R34)</f>
        <v>24803</v>
      </c>
      <c r="S36" s="162"/>
      <c r="V36" s="162"/>
      <c r="Y36" s="162"/>
      <c r="Z36" s="47">
        <f>SUM(T34,W34,Z34)</f>
        <v>2157.0700000000002</v>
      </c>
      <c r="AA36" s="48">
        <f>SUM(U34,X34,AA34)</f>
        <v>24129</v>
      </c>
      <c r="AB36" s="162"/>
      <c r="AE36" s="162"/>
      <c r="AH36" s="162"/>
      <c r="AI36" s="47">
        <f>SUM(AC34,AF34,AI34)</f>
        <v>1544.16</v>
      </c>
      <c r="AJ36" s="48">
        <f>SUM(AD34,AG34,AJ34)</f>
        <v>13273</v>
      </c>
      <c r="AK36" s="162"/>
    </row>
    <row r="37" spans="1:37" s="49" customFormat="1" ht="11.25" x14ac:dyDescent="0.2">
      <c r="A37" s="49" t="s">
        <v>149</v>
      </c>
      <c r="B37" s="54">
        <f>MAX(B3:B33)</f>
        <v>63.72</v>
      </c>
      <c r="C37" s="314">
        <f>MAX(C3:C33)</f>
        <v>1750</v>
      </c>
      <c r="D37" s="67"/>
      <c r="E37" s="54">
        <f>MAX(E3:E33)</f>
        <v>78.14</v>
      </c>
      <c r="F37" s="55">
        <f>MAX(F3:F33)</f>
        <v>156</v>
      </c>
      <c r="G37" s="67"/>
      <c r="H37" s="54">
        <f>MAX(H3:H33)</f>
        <v>79.290000000000006</v>
      </c>
      <c r="I37" s="55">
        <f>MAX(I3:I33)</f>
        <v>590</v>
      </c>
      <c r="J37" s="67"/>
      <c r="K37" s="315">
        <f>MAX(K3:K33)</f>
        <v>207</v>
      </c>
      <c r="L37" s="55">
        <f>MAX(L3:L33)</f>
        <v>940</v>
      </c>
      <c r="M37" s="67"/>
      <c r="N37" s="54">
        <f>MAX(N3:N33)</f>
        <v>115</v>
      </c>
      <c r="O37" s="55">
        <f>MAX(O3:O33)</f>
        <v>1335</v>
      </c>
      <c r="P37" s="67"/>
      <c r="Q37" s="54">
        <f>MAX(Q3:Q33)</f>
        <v>115</v>
      </c>
      <c r="R37" s="55">
        <f>MAX(R3:R33)</f>
        <v>1485</v>
      </c>
      <c r="S37" s="67"/>
      <c r="T37" s="54">
        <f>MAX(T3:T33)</f>
        <v>92.24</v>
      </c>
      <c r="U37" s="55">
        <f>MAX(U3:U33)</f>
        <v>1018</v>
      </c>
      <c r="V37" s="67"/>
      <c r="W37" s="54">
        <f>MAX(W3:W33)</f>
        <v>89.5</v>
      </c>
      <c r="X37" s="55">
        <f>MAX(X3:X33)</f>
        <v>1140</v>
      </c>
      <c r="Y37" s="67"/>
      <c r="Z37" s="54">
        <f>MAX(Z3:Z33)</f>
        <v>59.73</v>
      </c>
      <c r="AA37" s="55">
        <f>MAX(AA3:AA33)</f>
        <v>830</v>
      </c>
      <c r="AB37" s="67"/>
      <c r="AC37" s="54">
        <f>MAX(AC3:AC33)</f>
        <v>77.22</v>
      </c>
      <c r="AD37" s="55">
        <f>MAX(AD3:AD33)</f>
        <v>1005</v>
      </c>
      <c r="AE37" s="67"/>
      <c r="AF37" s="54">
        <f>MAX(AF3:AF33)</f>
        <v>82.72</v>
      </c>
      <c r="AG37" s="55">
        <f>MAX(AG3:AG33)</f>
        <v>585</v>
      </c>
      <c r="AH37" s="67"/>
      <c r="AI37" s="54">
        <f>MAX(AI3:AI33)</f>
        <v>37.159999999999997</v>
      </c>
      <c r="AJ37" s="314">
        <f>MAX(AJ3:AJ33)</f>
        <v>1260</v>
      </c>
      <c r="AK37" s="67"/>
    </row>
    <row r="38" spans="1:37" s="49" customFormat="1" ht="11.25" x14ac:dyDescent="0.2">
      <c r="A38" s="49" t="s">
        <v>343</v>
      </c>
      <c r="B38" s="54">
        <f>IFERROR(AVERAGE(B3:B33),0)</f>
        <v>22.708999999999996</v>
      </c>
      <c r="C38" s="55">
        <f>IFERROR(AVERAGE(C3:C33),0)</f>
        <v>267.05</v>
      </c>
      <c r="D38" s="67"/>
      <c r="E38" s="54">
        <f>IFERROR(AVERAGE(E3:E33),0)</f>
        <v>30.399285714285714</v>
      </c>
      <c r="F38" s="55">
        <f>IFERROR(AVERAGE(F3:F33),0)</f>
        <v>51.214285714285715</v>
      </c>
      <c r="G38" s="67"/>
      <c r="H38" s="54">
        <f>IFERROR(AVERAGE(H3:H33),0)</f>
        <v>24.570769230769233</v>
      </c>
      <c r="I38" s="55">
        <f>IFERROR(AVERAGE(I3:I33),0)</f>
        <v>156.69230769230768</v>
      </c>
      <c r="J38" s="67"/>
      <c r="K38" s="54">
        <f>IFERROR(AVERAGE(K3:K33),0)</f>
        <v>35.50333333333333</v>
      </c>
      <c r="L38" s="55">
        <f>IFERROR(AVERAGE(L3:L33),0)</f>
        <v>160.14285714285714</v>
      </c>
      <c r="M38" s="67"/>
      <c r="N38" s="54">
        <f>IFERROR(AVERAGE(N3:N33),0)</f>
        <v>29.242413793103449</v>
      </c>
      <c r="O38" s="55">
        <f>IFERROR(AVERAGE(O3:O33),0)</f>
        <v>352.79310344827587</v>
      </c>
      <c r="P38" s="67"/>
      <c r="Q38" s="54">
        <f>IFERROR(AVERAGE(Q3:Q33),0)</f>
        <v>34.976551724137934</v>
      </c>
      <c r="R38" s="55">
        <f>IFERROR(AVERAGE(R3:R33),0)</f>
        <v>386.51724137931035</v>
      </c>
      <c r="S38" s="67"/>
      <c r="T38" s="54">
        <f>IFERROR(AVERAGE(T3:T33),0)</f>
        <v>31.435769230769235</v>
      </c>
      <c r="U38" s="55">
        <f>IFERROR(AVERAGE(U3:U33),0)</f>
        <v>366.76923076923077</v>
      </c>
      <c r="V38" s="67"/>
      <c r="W38" s="54">
        <f>IFERROR(AVERAGE(W3:W33),0)</f>
        <v>29.495217391304351</v>
      </c>
      <c r="X38" s="55">
        <f>IFERROR(AVERAGE(X3:X33),0)</f>
        <v>325.82608695652175</v>
      </c>
      <c r="Y38" s="67"/>
      <c r="Z38" s="54">
        <f>IFERROR(AVERAGE(Z3:Z33),0)</f>
        <v>25.436538461538461</v>
      </c>
      <c r="AA38" s="55">
        <f>IFERROR(AVERAGE(AA3:AA33),0)</f>
        <v>273.03846153846155</v>
      </c>
      <c r="AB38" s="67"/>
      <c r="AC38" s="54">
        <f>IFERROR(AVERAGE(AC3:AC33),0)</f>
        <v>26.368260869565219</v>
      </c>
      <c r="AD38" s="55">
        <f>IFERROR(AVERAGE(AD3:AD33),0)</f>
        <v>248</v>
      </c>
      <c r="AE38" s="67"/>
      <c r="AF38" s="54">
        <f>IFERROR(AVERAGE(AF3:AF33),0)</f>
        <v>24.915416666666673</v>
      </c>
      <c r="AG38" s="55">
        <f>IFERROR(AVERAGE(AG3:AG33),0)</f>
        <v>150.33333333333334</v>
      </c>
      <c r="AH38" s="67"/>
      <c r="AI38" s="54">
        <f>IFERROR(AVERAGE(AI3:AI33),0)</f>
        <v>16.985999999999997</v>
      </c>
      <c r="AJ38" s="55">
        <f>IFERROR(AVERAGE(AJ3:AJ33),0)</f>
        <v>198.05</v>
      </c>
      <c r="AK38" s="67"/>
    </row>
    <row r="39" spans="1:37" s="52" customFormat="1" ht="11.25" x14ac:dyDescent="0.2">
      <c r="A39" s="94" t="s">
        <v>221</v>
      </c>
      <c r="B39" s="95">
        <f>RANK(B34,(B34,E34,H34,K34,N34,Q34,T34,W34,Z34,AC34,AF34,AI34))</f>
        <v>9</v>
      </c>
      <c r="C39" s="96">
        <f>RANK(C34,(C34,F34,I34,L34,O34,R34,U34,X34,AA34,AD34,AG34,AJ34))</f>
        <v>7</v>
      </c>
      <c r="D39" s="97"/>
      <c r="E39" s="95">
        <f>RANK(E34,(B34,E34,H34,K34,N34,Q34,T34,W34,Z34,AC34,AF34,AI34))</f>
        <v>10</v>
      </c>
      <c r="F39" s="96">
        <f>RANK(F34,(C34,F34,I34,L34,O34,R34,U34,X34,AA34,AD34,AG34,AJ34))</f>
        <v>12</v>
      </c>
      <c r="G39" s="97"/>
      <c r="H39" s="95">
        <f>RANK(H34,(B34,E34,H34,K34,N34,Q34,T34,W34,Z34,AC34,AF34,AI34))</f>
        <v>12</v>
      </c>
      <c r="I39" s="96">
        <f>RANK(I34,(C34,F34,I34,L34,O34,R34,U34,X34,AA34,AD34,AG34,AJ34))</f>
        <v>11</v>
      </c>
      <c r="J39" s="97"/>
      <c r="K39" s="95">
        <f>RANK(K34,(B34,E34,H34,K34,N34,Q34,T34,W34,Z34,AC34,AF34,AI34))</f>
        <v>4</v>
      </c>
      <c r="L39" s="96">
        <f>RANK(L34,(C34,F34,I34,L34,O34,R34,U34,X34,AA34,AD34,AG34,AJ34))</f>
        <v>10</v>
      </c>
      <c r="M39" s="97"/>
      <c r="N39" s="95">
        <f>RANK(N34,(B34,E34,H34,K34,N34,Q34,T34,W34,Z34,AC34,AF34,AI34))</f>
        <v>2</v>
      </c>
      <c r="O39" s="96">
        <f>RANK(O34,(C34,F34,I34,L34,O34,R34,U34,X34,AA34,AD34,AG34,AJ34))</f>
        <v>2</v>
      </c>
      <c r="P39" s="97"/>
      <c r="Q39" s="95">
        <f>RANK(Q34,(B34,E34,H34,K34,N34,Q34,T34,W34,Z34,AC34,AF34,AI34))</f>
        <v>1</v>
      </c>
      <c r="R39" s="96">
        <f>RANK(R34,(C34,F34,I34,L34,O34,R34,U34,X34,AA34,AD34,AG34,AJ34))</f>
        <v>1</v>
      </c>
      <c r="S39" s="97"/>
      <c r="T39" s="95">
        <f>RANK(T34,(B34,E34,H34,K34,N34,Q34,T34,W34,Z34,AC34,AF34,AI34))</f>
        <v>3</v>
      </c>
      <c r="U39" s="96">
        <f>RANK(U34,(C34,F34,I34,L34,O34,R34,U34,X34,AA34,AD34,AG34,AJ34))</f>
        <v>3</v>
      </c>
      <c r="V39" s="97"/>
      <c r="W39" s="95">
        <f>RANK(W34,(B34,E34,H34,K34,N34,Q34,T34,W34,Z34,AC34,AF34,AI34))</f>
        <v>5</v>
      </c>
      <c r="X39" s="96">
        <f>RANK(X34,(C34,F34,I34,L34,O34,R34,U34,X34,AA34,AD34,AG34,AJ34))</f>
        <v>4</v>
      </c>
      <c r="Y39" s="97"/>
      <c r="Z39" s="95">
        <f>RANK(Z34,(B34,E34,H34,K34,N34,Q34,T34,W34,Z34,AC34,AF34,AI34))</f>
        <v>6</v>
      </c>
      <c r="AA39" s="96">
        <f>RANK(AA34,(C34,F34,I34,L34,O34,R34,U34,X34,AA34,AD34,AG34,AJ34))</f>
        <v>5</v>
      </c>
      <c r="AB39" s="97"/>
      <c r="AC39" s="95">
        <f>RANK(AC34,(B34,E34,H34,K34,N34,Q34,T34,W34,Z34,AC34,AF34,AI34))</f>
        <v>7</v>
      </c>
      <c r="AD39" s="96">
        <f>RANK(AD34,(C34,F34,I34,L34,O34,R34,U34,X34,AA34,AD34,AG34,AJ34))</f>
        <v>6</v>
      </c>
      <c r="AE39" s="97"/>
      <c r="AF39" s="95">
        <f>RANK(AF34,(B34,E34,H34,K34,N34,Q34,T34,W34,Z34,AC34,AF34,AI34))</f>
        <v>8</v>
      </c>
      <c r="AG39" s="96">
        <f>RANK(AG34,(C34,F34,I34,L34,O34,R34,U34,X34,AA34,AD34,AG34,AJ34))</f>
        <v>9</v>
      </c>
      <c r="AH39" s="97"/>
      <c r="AI39" s="95">
        <f>RANK(AI34,(B34,E34,H34,K34,N34,Q34,T34,W34,Z34,AC34,AF34,AI34))</f>
        <v>11</v>
      </c>
      <c r="AJ39" s="98">
        <f>RANK(AJ34,(C34,F34,I34,L34,O34,R34,U34,X34,AA34,AD34,AG34,AJ34))</f>
        <v>8</v>
      </c>
      <c r="AK39" s="92"/>
    </row>
    <row r="40" spans="1:37" x14ac:dyDescent="0.2">
      <c r="A40" s="52" t="s">
        <v>214</v>
      </c>
      <c r="B40" s="86">
        <f>IFERROR(AVERAGE(B38,E38,H38,K38,N38,Q38,T38,W38,Z38,AC38,AF38,AI38),0)</f>
        <v>27.669879701289464</v>
      </c>
      <c r="C40" s="87">
        <f>IFERROR(AVERAGE(C38,F38,I38,L38,O38,R38,U38,X38,AA38,AD38,AG38,AJ38),0)</f>
        <v>244.70224233121539</v>
      </c>
      <c r="D40" s="336" t="s">
        <v>232</v>
      </c>
      <c r="E40" s="337"/>
      <c r="F40" s="93">
        <f>AI1/(C1*10)</f>
        <v>0.93629217643313944</v>
      </c>
      <c r="G40" s="92"/>
      <c r="J40" s="67"/>
      <c r="K40" s="49"/>
      <c r="L40" s="49"/>
      <c r="M40" s="45" t="s">
        <v>598</v>
      </c>
      <c r="N40" s="257">
        <v>40</v>
      </c>
      <c r="O40" s="49"/>
      <c r="P40" s="49"/>
      <c r="Q40" s="49"/>
      <c r="R40" s="49"/>
      <c r="S40" s="67"/>
      <c r="AB40" s="67" t="s">
        <v>479</v>
      </c>
      <c r="AC40" s="47">
        <f>MAX(B34,E34,H34,K34,N34,Q34,T34,W34,Z34,AC34,AF34,AI34)</f>
        <v>1014.3200000000002</v>
      </c>
      <c r="AD40" s="212">
        <f>MAX(C34,F34,I34,L34,O34,R34,U34,X34,AA34,AD34,AG34,AJ34)</f>
        <v>11209</v>
      </c>
      <c r="AK40" s="67"/>
    </row>
    <row r="41" spans="1:37" x14ac:dyDescent="0.2">
      <c r="A41" s="52" t="s">
        <v>215</v>
      </c>
      <c r="B41" s="86">
        <f>AI35/366</f>
        <v>20.514590163934432</v>
      </c>
      <c r="C41" s="87">
        <f>AJ35/366</f>
        <v>192.07650273224044</v>
      </c>
      <c r="D41" s="67"/>
      <c r="J41" s="67"/>
      <c r="K41" s="49"/>
      <c r="L41" s="49"/>
      <c r="M41" s="45" t="s">
        <v>599</v>
      </c>
      <c r="N41" s="258">
        <v>8</v>
      </c>
      <c r="O41" s="49"/>
      <c r="P41" s="49"/>
      <c r="Q41" s="49"/>
      <c r="R41" s="49"/>
      <c r="S41" s="67"/>
      <c r="AB41" s="67"/>
      <c r="AK41" s="67"/>
    </row>
  </sheetData>
  <sheetProtection password="CC70" sheet="1" objects="1" scenarios="1"/>
  <mergeCells count="18">
    <mergeCell ref="A1:B1"/>
    <mergeCell ref="C1:D1"/>
    <mergeCell ref="AG1:AH1"/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  <mergeCell ref="U1:V1"/>
    <mergeCell ref="W1:X1"/>
  </mergeCells>
  <conditionalFormatting sqref="B34 E34 H34 K34 N34 Q34 T34 W34 Z34 AC34 AF34 AI34">
    <cfRule type="cellIs" dxfId="898" priority="81" operator="equal">
      <formula>$O$1</formula>
    </cfRule>
    <cfRule type="cellIs" dxfId="897" priority="105" operator="equal">
      <formula>$K$1</formula>
    </cfRule>
  </conditionalFormatting>
  <conditionalFormatting sqref="C34 F34 I34 L34 O34 R34 U34 X34 AA34 AD34 AG34 AJ34">
    <cfRule type="cellIs" dxfId="896" priority="57" operator="equal">
      <formula>$W$1</formula>
    </cfRule>
    <cfRule type="cellIs" dxfId="895" priority="58" operator="equal">
      <formula>$AA$1</formula>
    </cfRule>
  </conditionalFormatting>
  <conditionalFormatting sqref="B3:B33 E3:E33 H3:H33 K3:K33 N3:N33 Q3:Q33 T3:T33 W3:W33 Z3:Z33 AC3:AC33 AF3:AF33 AI3:AI33">
    <cfRule type="cellIs" dxfId="894" priority="232" stopIfTrue="1" operator="lessThan">
      <formula>50</formula>
    </cfRule>
    <cfRule type="cellIs" dxfId="893" priority="233" stopIfTrue="1" operator="greaterThanOrEqual">
      <formula>100</formula>
    </cfRule>
    <cfRule type="cellIs" dxfId="892" priority="234" operator="greaterThanOrEqual">
      <formula>50</formula>
    </cfRule>
  </conditionalFormatting>
  <conditionalFormatting sqref="C3:C33 F3:F33 I3:I33 L3:L33 O3:O33 R3:R33 U3:U33 X3:X33 AA3:AA33 AD3:AD33 AG3:AG33 AJ3:AJ33">
    <cfRule type="cellIs" dxfId="891" priority="190" stopIfTrue="1" operator="between">
      <formula>0</formula>
      <formula>749.99</formula>
    </cfRule>
    <cfRule type="cellIs" dxfId="890" priority="191" stopIfTrue="1" operator="greaterThanOrEqual">
      <formula>1500</formula>
    </cfRule>
    <cfRule type="cellIs" dxfId="889" priority="192" operator="greaterThanOrEqual">
      <formula>750</formula>
    </cfRule>
  </conditionalFormatting>
  <conditionalFormatting sqref="AD40">
    <cfRule type="cellIs" dxfId="888" priority="4" stopIfTrue="1" operator="lessThan">
      <formula>10000</formula>
    </cfRule>
    <cfRule type="cellIs" dxfId="887" priority="5" stopIfTrue="1" operator="lessThan">
      <formula>13000</formula>
    </cfRule>
    <cfRule type="cellIs" dxfId="886" priority="6" stopIfTrue="1" operator="lessThan">
      <formula>99999</formula>
    </cfRule>
  </conditionalFormatting>
  <conditionalFormatting sqref="AC40">
    <cfRule type="cellIs" dxfId="885" priority="1" stopIfTrue="1" operator="lessThan">
      <formula>1000</formula>
    </cfRule>
    <cfRule type="cellIs" dxfId="884" priority="2" stopIfTrue="1" operator="lessThan">
      <formula>1100</formula>
    </cfRule>
    <cfRule type="cellIs" dxfId="883" priority="3" stopIfTrue="1" operator="lessThan">
      <formula>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58">
        <f>AT35+AV35</f>
        <v>7358.33</v>
      </c>
      <c r="C1" s="358"/>
      <c r="D1" s="83" t="s">
        <v>238</v>
      </c>
      <c r="E1" s="359">
        <f>AT35</f>
        <v>6748.33</v>
      </c>
      <c r="F1" s="359"/>
      <c r="G1" s="360" t="s">
        <v>152</v>
      </c>
      <c r="H1" s="360"/>
      <c r="I1" s="356">
        <f>MAX(B36,F36,J36,N36,R36,V36,Z36,AD36,AH36,AL36,AP36,AT36)</f>
        <v>131.44</v>
      </c>
      <c r="J1" s="356"/>
      <c r="K1" s="361" t="s">
        <v>159</v>
      </c>
      <c r="L1" s="361"/>
      <c r="M1" s="362">
        <f>MAX(B34,F34,J34,N34,R34,V34,Z34,AD34,AH34,AL34,AP34,AT34)</f>
        <v>875.8599999999999</v>
      </c>
      <c r="N1" s="362"/>
      <c r="O1" s="355" t="s">
        <v>190</v>
      </c>
      <c r="P1" s="355"/>
      <c r="Q1" s="355"/>
      <c r="R1" s="149">
        <f>MIN(B34,F34,J34,N34,R34,V34,Z34,AD34,AH34,AL34,AP34,AT34)</f>
        <v>268.27000000000004</v>
      </c>
      <c r="S1" s="84" t="s">
        <v>207</v>
      </c>
      <c r="T1" s="368">
        <f>IFERROR(AVERAGE(B37,F37,J37,N37,R37,V37,Z37,AD37,AH37,AL37,AP37,AT37),0)</f>
        <v>28.737098655776773</v>
      </c>
      <c r="U1" s="368"/>
      <c r="V1" s="369" t="s">
        <v>206</v>
      </c>
      <c r="W1" s="369"/>
      <c r="X1" s="369"/>
      <c r="Y1" s="369"/>
      <c r="Z1" s="369"/>
      <c r="AA1" s="85" t="s">
        <v>207</v>
      </c>
      <c r="AB1" s="357">
        <f>IFERROR(AVERAGE(C37,G37,K37,O37,S37,W37,AA37,AE37,AI37,AM37,AQ37,AU37),0)</f>
        <v>285.10348601962454</v>
      </c>
      <c r="AC1" s="357"/>
      <c r="AD1" s="367" t="s">
        <v>190</v>
      </c>
      <c r="AE1" s="367"/>
      <c r="AF1" s="370">
        <f>MIN(C34,G34,K34,O34,S34,W34,AA34,AE34,AI34,AM34,AQ34,AU34)</f>
        <v>1216</v>
      </c>
      <c r="AG1" s="370"/>
      <c r="AH1" s="371" t="s">
        <v>159</v>
      </c>
      <c r="AI1" s="371"/>
      <c r="AJ1" s="372">
        <f>MAX(C34,G34,K34,O34,S34,W34,AA34,AE34,AI34,AM34,AQ34,AU34)</f>
        <v>9324</v>
      </c>
      <c r="AK1" s="372"/>
      <c r="AL1" s="374" t="s">
        <v>153</v>
      </c>
      <c r="AM1" s="374"/>
      <c r="AN1" s="373">
        <f>MAX(C36,G36,K36,O36,S36,W36,AA36,AE36,AI36,AM36,AQ36,AU36)</f>
        <v>1860</v>
      </c>
      <c r="AO1" s="373"/>
      <c r="AP1" s="363" t="s">
        <v>361</v>
      </c>
      <c r="AQ1" s="363"/>
      <c r="AR1" s="364">
        <f>MAX(D36,H36,L36,P36,T36,X36,AB36,AF36,AJ36,AN36,AR36,AV36)</f>
        <v>0.125</v>
      </c>
      <c r="AS1" s="364"/>
      <c r="AT1" s="81" t="s">
        <v>2</v>
      </c>
      <c r="AU1" s="365">
        <f>AU35</f>
        <v>67456</v>
      </c>
      <c r="AV1" s="366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>
        <v>11.96</v>
      </c>
      <c r="C3" s="55">
        <v>30</v>
      </c>
      <c r="D3" s="150"/>
      <c r="E3" s="75">
        <v>1</v>
      </c>
      <c r="F3" s="54">
        <v>29.51</v>
      </c>
      <c r="G3" s="55">
        <v>375</v>
      </c>
      <c r="H3" s="150"/>
      <c r="I3" s="75">
        <v>1</v>
      </c>
      <c r="J3" s="54">
        <v>71.22</v>
      </c>
      <c r="K3" s="55">
        <v>820</v>
      </c>
      <c r="L3" s="150"/>
      <c r="M3" s="75">
        <v>1</v>
      </c>
      <c r="N3" s="54">
        <v>50.84</v>
      </c>
      <c r="O3" s="55">
        <v>27</v>
      </c>
      <c r="P3" s="150"/>
      <c r="Q3" s="75">
        <v>1</v>
      </c>
      <c r="R3" s="54">
        <v>21.63</v>
      </c>
      <c r="S3" s="55">
        <v>471</v>
      </c>
      <c r="T3" s="150"/>
      <c r="U3" s="75">
        <v>1</v>
      </c>
      <c r="V3" s="54"/>
      <c r="W3" s="55"/>
      <c r="X3" s="150"/>
      <c r="Y3" s="75">
        <v>1</v>
      </c>
      <c r="Z3" s="54">
        <v>79.33</v>
      </c>
      <c r="AA3" s="55">
        <v>130</v>
      </c>
      <c r="AB3" s="150"/>
      <c r="AC3" s="75">
        <v>1</v>
      </c>
      <c r="AD3" s="54">
        <v>30.09</v>
      </c>
      <c r="AE3" s="55">
        <v>589</v>
      </c>
      <c r="AF3" s="150"/>
      <c r="AG3" s="75">
        <v>1</v>
      </c>
      <c r="AH3" s="54"/>
      <c r="AI3" s="55"/>
      <c r="AJ3" s="150"/>
      <c r="AK3" s="75">
        <v>1</v>
      </c>
      <c r="AL3" s="54"/>
      <c r="AM3" s="55"/>
      <c r="AN3" s="150"/>
      <c r="AO3" s="75">
        <v>1</v>
      </c>
      <c r="AP3" s="54">
        <v>38.4</v>
      </c>
      <c r="AQ3" s="55">
        <v>990</v>
      </c>
      <c r="AR3" s="150"/>
      <c r="AS3" s="75">
        <v>1</v>
      </c>
      <c r="AT3" s="54">
        <v>12.87</v>
      </c>
      <c r="AU3" s="55">
        <v>10</v>
      </c>
      <c r="AV3" s="150"/>
      <c r="AW3" s="67"/>
    </row>
    <row r="4" spans="1:49" s="49" customFormat="1" ht="11.25" x14ac:dyDescent="0.2">
      <c r="A4" s="73">
        <f>A3+1</f>
        <v>2</v>
      </c>
      <c r="B4" s="54">
        <v>12.7</v>
      </c>
      <c r="C4" s="55">
        <v>40</v>
      </c>
      <c r="D4" s="150"/>
      <c r="E4" s="75">
        <f>E3+1</f>
        <v>2</v>
      </c>
      <c r="F4" s="54"/>
      <c r="G4" s="55"/>
      <c r="H4" s="150"/>
      <c r="I4" s="75">
        <f>I3+1</f>
        <v>2</v>
      </c>
      <c r="J4" s="54"/>
      <c r="K4" s="55"/>
      <c r="L4" s="150"/>
      <c r="M4" s="75">
        <f>M3+1</f>
        <v>2</v>
      </c>
      <c r="N4" s="54">
        <v>19.579999999999998</v>
      </c>
      <c r="O4" s="55">
        <v>210</v>
      </c>
      <c r="P4" s="150"/>
      <c r="Q4" s="75">
        <f>Q3+1</f>
        <v>2</v>
      </c>
      <c r="R4" s="54">
        <v>31.71</v>
      </c>
      <c r="S4" s="55">
        <v>487</v>
      </c>
      <c r="T4" s="150"/>
      <c r="U4" s="75">
        <f>U3+1</f>
        <v>2</v>
      </c>
      <c r="V4" s="54">
        <v>24.68</v>
      </c>
      <c r="W4" s="55">
        <v>212</v>
      </c>
      <c r="X4" s="150"/>
      <c r="Y4" s="75">
        <f>Y3+1</f>
        <v>2</v>
      </c>
      <c r="Z4" s="54">
        <v>16.850000000000001</v>
      </c>
      <c r="AA4" s="55">
        <v>536</v>
      </c>
      <c r="AB4" s="150"/>
      <c r="AC4" s="75">
        <f>AC3+1</f>
        <v>2</v>
      </c>
      <c r="AD4" s="54">
        <v>6.59</v>
      </c>
      <c r="AE4" s="55">
        <v>5</v>
      </c>
      <c r="AF4" s="150"/>
      <c r="AG4" s="75">
        <f>AG3+1</f>
        <v>2</v>
      </c>
      <c r="AH4" s="54">
        <v>32.659999999999997</v>
      </c>
      <c r="AI4" s="55">
        <v>720</v>
      </c>
      <c r="AJ4" s="150"/>
      <c r="AK4" s="75">
        <f>AK3+1</f>
        <v>2</v>
      </c>
      <c r="AL4" s="54">
        <v>100.03</v>
      </c>
      <c r="AM4" s="55">
        <v>100</v>
      </c>
      <c r="AN4" s="150"/>
      <c r="AO4" s="75">
        <f>AO3+1</f>
        <v>2</v>
      </c>
      <c r="AP4" s="54">
        <v>60.6</v>
      </c>
      <c r="AQ4" s="55">
        <v>1490</v>
      </c>
      <c r="AR4" s="150"/>
      <c r="AS4" s="75">
        <f>AS3+1</f>
        <v>2</v>
      </c>
      <c r="AT4" s="54">
        <v>17.47</v>
      </c>
      <c r="AU4" s="55">
        <v>10</v>
      </c>
      <c r="AV4" s="150"/>
      <c r="AW4" s="67"/>
    </row>
    <row r="5" spans="1:49" s="49" customFormat="1" ht="11.25" x14ac:dyDescent="0.2">
      <c r="A5" s="73">
        <f t="shared" ref="A5:A33" si="0">A4+1</f>
        <v>3</v>
      </c>
      <c r="B5" s="54">
        <v>48.34</v>
      </c>
      <c r="C5" s="55">
        <v>496</v>
      </c>
      <c r="D5" s="150"/>
      <c r="E5" s="75">
        <f t="shared" ref="E5:E30" si="1">E4+1</f>
        <v>3</v>
      </c>
      <c r="F5" s="54">
        <v>14.15</v>
      </c>
      <c r="G5" s="55">
        <v>146</v>
      </c>
      <c r="H5" s="150"/>
      <c r="I5" s="75">
        <f t="shared" ref="I5:I33" si="2">I4+1</f>
        <v>3</v>
      </c>
      <c r="J5" s="54">
        <v>20.399999999999999</v>
      </c>
      <c r="K5" s="55">
        <v>60</v>
      </c>
      <c r="L5" s="150"/>
      <c r="M5" s="75">
        <f t="shared" ref="M5:M32" si="3">M4+1</f>
        <v>3</v>
      </c>
      <c r="N5" s="54">
        <v>22.2</v>
      </c>
      <c r="O5" s="55">
        <v>175</v>
      </c>
      <c r="P5" s="150"/>
      <c r="Q5" s="75">
        <f t="shared" ref="Q5:Q33" si="4">Q4+1</f>
        <v>3</v>
      </c>
      <c r="R5" s="54">
        <v>131.44</v>
      </c>
      <c r="S5" s="55">
        <v>173</v>
      </c>
      <c r="T5" s="150"/>
      <c r="U5" s="75">
        <f t="shared" ref="U5:U32" si="5">U4+1</f>
        <v>3</v>
      </c>
      <c r="V5" s="54">
        <v>34.119999999999997</v>
      </c>
      <c r="W5" s="55">
        <v>513</v>
      </c>
      <c r="X5" s="150"/>
      <c r="Y5" s="75">
        <f t="shared" ref="Y5:Y33" si="6">Y4+1</f>
        <v>3</v>
      </c>
      <c r="Z5" s="54">
        <v>85.14</v>
      </c>
      <c r="AA5" s="55">
        <v>1100</v>
      </c>
      <c r="AB5" s="150"/>
      <c r="AC5" s="75">
        <f t="shared" ref="AC5:AC33" si="7">AC4+1</f>
        <v>3</v>
      </c>
      <c r="AD5" s="54">
        <v>17.93</v>
      </c>
      <c r="AE5" s="55">
        <v>200</v>
      </c>
      <c r="AF5" s="150"/>
      <c r="AG5" s="75">
        <f t="shared" ref="AG5:AG32" si="8">AG4+1</f>
        <v>3</v>
      </c>
      <c r="AH5" s="54"/>
      <c r="AI5" s="55"/>
      <c r="AJ5" s="150"/>
      <c r="AK5" s="75">
        <f t="shared" ref="AK5:AK33" si="9">AK4+1</f>
        <v>3</v>
      </c>
      <c r="AL5" s="54"/>
      <c r="AM5" s="55"/>
      <c r="AN5" s="150"/>
      <c r="AO5" s="75">
        <f t="shared" ref="AO5:AO32" si="10">AO4+1</f>
        <v>3</v>
      </c>
      <c r="AP5" s="54"/>
      <c r="AQ5" s="55"/>
      <c r="AR5" s="150"/>
      <c r="AS5" s="75">
        <f t="shared" ref="AS5:AS33" si="11">AS4+1</f>
        <v>3</v>
      </c>
      <c r="AT5" s="54"/>
      <c r="AU5" s="55"/>
      <c r="AV5" s="150"/>
      <c r="AW5" s="67"/>
    </row>
    <row r="6" spans="1:49" s="49" customFormat="1" ht="11.25" x14ac:dyDescent="0.2">
      <c r="A6" s="73">
        <f t="shared" si="0"/>
        <v>4</v>
      </c>
      <c r="B6" s="54"/>
      <c r="C6" s="55"/>
      <c r="D6" s="150"/>
      <c r="E6" s="75">
        <f t="shared" si="1"/>
        <v>4</v>
      </c>
      <c r="F6" s="54"/>
      <c r="G6" s="55"/>
      <c r="H6" s="150">
        <v>4.1666666666666664E-2</v>
      </c>
      <c r="I6" s="75">
        <f t="shared" si="2"/>
        <v>4</v>
      </c>
      <c r="J6" s="54">
        <v>21.89</v>
      </c>
      <c r="K6" s="55">
        <v>15</v>
      </c>
      <c r="L6" s="150"/>
      <c r="M6" s="75">
        <f t="shared" si="3"/>
        <v>4</v>
      </c>
      <c r="N6" s="54">
        <v>71.540000000000006</v>
      </c>
      <c r="O6" s="55">
        <v>616</v>
      </c>
      <c r="P6" s="150"/>
      <c r="Q6" s="75">
        <f t="shared" si="4"/>
        <v>4</v>
      </c>
      <c r="R6" s="54"/>
      <c r="S6" s="55"/>
      <c r="T6" s="150"/>
      <c r="U6" s="75">
        <f t="shared" si="5"/>
        <v>4</v>
      </c>
      <c r="V6" s="54">
        <v>25.68</v>
      </c>
      <c r="W6" s="55">
        <v>15</v>
      </c>
      <c r="X6" s="150"/>
      <c r="Y6" s="75">
        <f t="shared" si="6"/>
        <v>4</v>
      </c>
      <c r="Z6" s="54"/>
      <c r="AA6" s="55"/>
      <c r="AB6" s="150"/>
      <c r="AC6" s="75">
        <f t="shared" si="7"/>
        <v>4</v>
      </c>
      <c r="AD6" s="54">
        <v>20.87</v>
      </c>
      <c r="AE6" s="55">
        <v>100</v>
      </c>
      <c r="AF6" s="150"/>
      <c r="AG6" s="75">
        <f t="shared" si="8"/>
        <v>4</v>
      </c>
      <c r="AH6" s="54"/>
      <c r="AI6" s="55"/>
      <c r="AJ6" s="150"/>
      <c r="AK6" s="75">
        <f t="shared" si="9"/>
        <v>4</v>
      </c>
      <c r="AL6" s="54">
        <v>16.399999999999999</v>
      </c>
      <c r="AM6" s="55">
        <v>65</v>
      </c>
      <c r="AN6" s="150"/>
      <c r="AO6" s="75">
        <f t="shared" si="10"/>
        <v>4</v>
      </c>
      <c r="AP6" s="54"/>
      <c r="AQ6" s="55"/>
      <c r="AR6" s="150"/>
      <c r="AS6" s="75">
        <f t="shared" si="11"/>
        <v>4</v>
      </c>
      <c r="AT6" s="54">
        <v>20.170000000000002</v>
      </c>
      <c r="AU6" s="55">
        <v>20</v>
      </c>
      <c r="AV6" s="150"/>
      <c r="AW6" s="67"/>
    </row>
    <row r="7" spans="1:49" s="49" customFormat="1" ht="11.25" x14ac:dyDescent="0.2">
      <c r="A7" s="73">
        <f t="shared" si="0"/>
        <v>5</v>
      </c>
      <c r="B7" s="54"/>
      <c r="C7" s="55"/>
      <c r="D7" s="150"/>
      <c r="E7" s="75">
        <f t="shared" si="1"/>
        <v>5</v>
      </c>
      <c r="F7" s="54"/>
      <c r="G7" s="55"/>
      <c r="H7" s="150"/>
      <c r="I7" s="75">
        <f t="shared" si="2"/>
        <v>5</v>
      </c>
      <c r="J7" s="54"/>
      <c r="K7" s="55"/>
      <c r="L7" s="150"/>
      <c r="M7" s="75">
        <f t="shared" si="3"/>
        <v>5</v>
      </c>
      <c r="N7" s="54">
        <v>50.55</v>
      </c>
      <c r="O7" s="55">
        <v>1006</v>
      </c>
      <c r="P7" s="150"/>
      <c r="Q7" s="75">
        <f t="shared" si="4"/>
        <v>5</v>
      </c>
      <c r="R7" s="54">
        <v>12.42</v>
      </c>
      <c r="S7" s="55">
        <v>33</v>
      </c>
      <c r="T7" s="150"/>
      <c r="U7" s="75">
        <f t="shared" si="5"/>
        <v>5</v>
      </c>
      <c r="V7" s="54">
        <v>29.05</v>
      </c>
      <c r="W7" s="55">
        <v>190</v>
      </c>
      <c r="X7" s="150"/>
      <c r="Y7" s="75">
        <f t="shared" si="6"/>
        <v>5</v>
      </c>
      <c r="Z7" s="54">
        <v>115</v>
      </c>
      <c r="AA7" s="55">
        <v>1241</v>
      </c>
      <c r="AB7" s="150"/>
      <c r="AC7" s="75">
        <f t="shared" si="7"/>
        <v>5</v>
      </c>
      <c r="AD7" s="54">
        <v>16.850000000000001</v>
      </c>
      <c r="AE7" s="55">
        <v>536</v>
      </c>
      <c r="AF7" s="150"/>
      <c r="AG7" s="75">
        <f t="shared" si="8"/>
        <v>5</v>
      </c>
      <c r="AH7" s="54">
        <v>42.06</v>
      </c>
      <c r="AI7" s="55">
        <v>915</v>
      </c>
      <c r="AJ7" s="150"/>
      <c r="AK7" s="75">
        <f t="shared" si="9"/>
        <v>5</v>
      </c>
      <c r="AL7" s="54"/>
      <c r="AM7" s="55"/>
      <c r="AN7" s="150"/>
      <c r="AO7" s="75">
        <f t="shared" si="10"/>
        <v>5</v>
      </c>
      <c r="AP7" s="54"/>
      <c r="AQ7" s="55"/>
      <c r="AR7" s="150"/>
      <c r="AS7" s="75">
        <f t="shared" si="11"/>
        <v>5</v>
      </c>
      <c r="AT7" s="54"/>
      <c r="AU7" s="55"/>
      <c r="AV7" s="150"/>
      <c r="AW7" s="67"/>
    </row>
    <row r="8" spans="1:49" s="49" customFormat="1" ht="11.25" x14ac:dyDescent="0.2">
      <c r="A8" s="73">
        <f t="shared" si="0"/>
        <v>6</v>
      </c>
      <c r="B8" s="54">
        <v>15.6</v>
      </c>
      <c r="C8" s="55">
        <v>40</v>
      </c>
      <c r="D8" s="150">
        <v>4.1666666666666664E-2</v>
      </c>
      <c r="E8" s="75">
        <f t="shared" si="1"/>
        <v>6</v>
      </c>
      <c r="F8" s="54">
        <v>16.91</v>
      </c>
      <c r="G8" s="55">
        <v>125</v>
      </c>
      <c r="H8" s="150"/>
      <c r="I8" s="75">
        <f t="shared" si="2"/>
        <v>6</v>
      </c>
      <c r="J8" s="54"/>
      <c r="K8" s="55"/>
      <c r="L8" s="150"/>
      <c r="M8" s="75">
        <f t="shared" si="3"/>
        <v>6</v>
      </c>
      <c r="N8" s="54">
        <v>20.149999999999999</v>
      </c>
      <c r="O8" s="55">
        <v>10</v>
      </c>
      <c r="P8" s="150"/>
      <c r="Q8" s="75">
        <f t="shared" si="4"/>
        <v>6</v>
      </c>
      <c r="R8" s="54"/>
      <c r="S8" s="55"/>
      <c r="T8" s="150"/>
      <c r="U8" s="75">
        <f t="shared" si="5"/>
        <v>6</v>
      </c>
      <c r="V8" s="54">
        <v>32.99</v>
      </c>
      <c r="W8" s="55">
        <v>190</v>
      </c>
      <c r="X8" s="150"/>
      <c r="Y8" s="75">
        <f t="shared" si="6"/>
        <v>6</v>
      </c>
      <c r="Z8" s="54">
        <v>35.979999999999997</v>
      </c>
      <c r="AA8" s="55">
        <v>75</v>
      </c>
      <c r="AB8" s="150"/>
      <c r="AC8" s="75">
        <f t="shared" si="7"/>
        <v>6</v>
      </c>
      <c r="AD8" s="54">
        <v>8.56</v>
      </c>
      <c r="AE8" s="55">
        <v>30</v>
      </c>
      <c r="AF8" s="150"/>
      <c r="AG8" s="75">
        <f t="shared" si="8"/>
        <v>6</v>
      </c>
      <c r="AH8" s="54">
        <v>10.91</v>
      </c>
      <c r="AI8" s="55">
        <v>5</v>
      </c>
      <c r="AJ8" s="150"/>
      <c r="AK8" s="75">
        <f t="shared" si="9"/>
        <v>6</v>
      </c>
      <c r="AL8" s="54"/>
      <c r="AM8" s="55"/>
      <c r="AN8" s="150"/>
      <c r="AO8" s="75">
        <f t="shared" si="10"/>
        <v>6</v>
      </c>
      <c r="AP8" s="54">
        <v>10</v>
      </c>
      <c r="AQ8" s="55">
        <v>2</v>
      </c>
      <c r="AR8" s="150"/>
      <c r="AS8" s="75">
        <f t="shared" si="11"/>
        <v>6</v>
      </c>
      <c r="AT8" s="54">
        <v>13.91</v>
      </c>
      <c r="AU8" s="55">
        <v>10</v>
      </c>
      <c r="AV8" s="150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50"/>
      <c r="E9" s="75">
        <f t="shared" si="1"/>
        <v>7</v>
      </c>
      <c r="F9" s="54"/>
      <c r="G9" s="55"/>
      <c r="H9" s="150"/>
      <c r="I9" s="75">
        <f t="shared" si="2"/>
        <v>7</v>
      </c>
      <c r="J9" s="54">
        <v>58.76</v>
      </c>
      <c r="K9" s="55">
        <v>295</v>
      </c>
      <c r="L9" s="150"/>
      <c r="M9" s="75">
        <f t="shared" si="3"/>
        <v>7</v>
      </c>
      <c r="N9" s="54">
        <v>11.53</v>
      </c>
      <c r="O9" s="55">
        <v>91</v>
      </c>
      <c r="P9" s="150"/>
      <c r="Q9" s="75">
        <f t="shared" si="4"/>
        <v>7</v>
      </c>
      <c r="R9" s="54"/>
      <c r="S9" s="55"/>
      <c r="T9" s="150"/>
      <c r="U9" s="75">
        <f t="shared" si="5"/>
        <v>7</v>
      </c>
      <c r="V9" s="54">
        <v>38.58</v>
      </c>
      <c r="W9" s="55">
        <v>100</v>
      </c>
      <c r="X9" s="150"/>
      <c r="Y9" s="75">
        <f t="shared" si="6"/>
        <v>7</v>
      </c>
      <c r="Z9" s="54"/>
      <c r="AA9" s="55"/>
      <c r="AB9" s="150"/>
      <c r="AC9" s="75">
        <f t="shared" si="7"/>
        <v>7</v>
      </c>
      <c r="AD9" s="54"/>
      <c r="AE9" s="55"/>
      <c r="AF9" s="150"/>
      <c r="AG9" s="75">
        <f t="shared" si="8"/>
        <v>7</v>
      </c>
      <c r="AH9" s="54">
        <v>22.4</v>
      </c>
      <c r="AI9" s="55">
        <v>145</v>
      </c>
      <c r="AJ9" s="150"/>
      <c r="AK9" s="75">
        <f t="shared" si="9"/>
        <v>7</v>
      </c>
      <c r="AL9" s="54">
        <v>18.11</v>
      </c>
      <c r="AM9" s="55">
        <v>203</v>
      </c>
      <c r="AN9" s="150"/>
      <c r="AO9" s="75">
        <f t="shared" si="10"/>
        <v>7</v>
      </c>
      <c r="AP9" s="54">
        <v>13.78</v>
      </c>
      <c r="AQ9" s="55">
        <v>10</v>
      </c>
      <c r="AR9" s="150"/>
      <c r="AS9" s="75">
        <f t="shared" si="11"/>
        <v>7</v>
      </c>
      <c r="AT9" s="54"/>
      <c r="AU9" s="55"/>
      <c r="AV9" s="150"/>
      <c r="AW9" s="67"/>
    </row>
    <row r="10" spans="1:49" s="49" customFormat="1" ht="11.25" x14ac:dyDescent="0.2">
      <c r="A10" s="73">
        <f t="shared" si="0"/>
        <v>8</v>
      </c>
      <c r="B10" s="54"/>
      <c r="C10" s="55"/>
      <c r="D10" s="150"/>
      <c r="E10" s="75">
        <f t="shared" si="1"/>
        <v>8</v>
      </c>
      <c r="F10" s="54">
        <v>13.19</v>
      </c>
      <c r="G10" s="55">
        <v>5</v>
      </c>
      <c r="H10" s="150"/>
      <c r="I10" s="75">
        <f t="shared" si="2"/>
        <v>8</v>
      </c>
      <c r="J10" s="54"/>
      <c r="K10" s="55"/>
      <c r="L10" s="150">
        <v>3.125E-2</v>
      </c>
      <c r="M10" s="75">
        <f t="shared" si="3"/>
        <v>8</v>
      </c>
      <c r="N10" s="54">
        <v>24.26</v>
      </c>
      <c r="O10" s="55">
        <v>182</v>
      </c>
      <c r="P10" s="150"/>
      <c r="Q10" s="75">
        <f t="shared" si="4"/>
        <v>8</v>
      </c>
      <c r="R10" s="54">
        <v>20.95</v>
      </c>
      <c r="S10" s="55">
        <v>400</v>
      </c>
      <c r="T10" s="150"/>
      <c r="U10" s="75">
        <f t="shared" si="5"/>
        <v>8</v>
      </c>
      <c r="V10" s="54">
        <v>16.850000000000001</v>
      </c>
      <c r="W10" s="55">
        <v>536</v>
      </c>
      <c r="X10" s="150"/>
      <c r="Y10" s="75">
        <f t="shared" si="6"/>
        <v>8</v>
      </c>
      <c r="Z10" s="54"/>
      <c r="AA10" s="55"/>
      <c r="AB10" s="150">
        <v>4.1666666666666664E-2</v>
      </c>
      <c r="AC10" s="75">
        <f t="shared" si="7"/>
        <v>8</v>
      </c>
      <c r="AD10" s="54">
        <v>111.31</v>
      </c>
      <c r="AE10" s="55">
        <v>1450</v>
      </c>
      <c r="AF10" s="150"/>
      <c r="AG10" s="75">
        <f t="shared" si="8"/>
        <v>8</v>
      </c>
      <c r="AH10" s="49">
        <v>17.13</v>
      </c>
      <c r="AI10" s="49">
        <v>369</v>
      </c>
      <c r="AJ10" s="150"/>
      <c r="AK10" s="75">
        <f t="shared" si="9"/>
        <v>8</v>
      </c>
      <c r="AL10" s="54"/>
      <c r="AM10" s="55"/>
      <c r="AN10" s="150"/>
      <c r="AO10" s="75">
        <f t="shared" si="10"/>
        <v>8</v>
      </c>
      <c r="AP10" s="54"/>
      <c r="AQ10" s="55"/>
      <c r="AR10" s="150"/>
      <c r="AS10" s="75">
        <f t="shared" si="11"/>
        <v>8</v>
      </c>
      <c r="AT10" s="54">
        <v>17.98</v>
      </c>
      <c r="AU10" s="55">
        <v>10</v>
      </c>
      <c r="AV10" s="150"/>
      <c r="AW10" s="67"/>
    </row>
    <row r="11" spans="1:49" s="49" customFormat="1" ht="11.25" x14ac:dyDescent="0.2">
      <c r="A11" s="73">
        <f t="shared" si="0"/>
        <v>9</v>
      </c>
      <c r="B11" s="54">
        <v>10.37</v>
      </c>
      <c r="C11" s="55">
        <v>25</v>
      </c>
      <c r="D11" s="150"/>
      <c r="E11" s="75">
        <f t="shared" si="1"/>
        <v>9</v>
      </c>
      <c r="F11" s="54">
        <v>13.57</v>
      </c>
      <c r="G11" s="55">
        <v>140</v>
      </c>
      <c r="H11" s="150">
        <v>4.1666666666666664E-2</v>
      </c>
      <c r="I11" s="75">
        <f t="shared" si="2"/>
        <v>9</v>
      </c>
      <c r="J11" s="54"/>
      <c r="K11" s="55"/>
      <c r="L11" s="150">
        <v>4.8611111111111112E-2</v>
      </c>
      <c r="M11" s="75">
        <f t="shared" si="3"/>
        <v>9</v>
      </c>
      <c r="N11" s="54">
        <v>24.68</v>
      </c>
      <c r="O11" s="55">
        <v>212</v>
      </c>
      <c r="P11" s="150"/>
      <c r="Q11" s="75">
        <f t="shared" si="4"/>
        <v>9</v>
      </c>
      <c r="R11" s="54">
        <v>48.37</v>
      </c>
      <c r="S11" s="55">
        <v>410</v>
      </c>
      <c r="T11" s="150"/>
      <c r="U11" s="75">
        <f t="shared" si="5"/>
        <v>9</v>
      </c>
      <c r="V11" s="54">
        <v>24.91</v>
      </c>
      <c r="W11" s="55">
        <v>358</v>
      </c>
      <c r="X11" s="150"/>
      <c r="Y11" s="75">
        <f t="shared" si="6"/>
        <v>9</v>
      </c>
      <c r="Z11" s="54">
        <v>19.88</v>
      </c>
      <c r="AA11" s="55">
        <v>278</v>
      </c>
      <c r="AB11" s="150"/>
      <c r="AC11" s="75">
        <f t="shared" si="7"/>
        <v>9</v>
      </c>
      <c r="AD11" s="54">
        <v>11.4</v>
      </c>
      <c r="AE11" s="55">
        <v>35</v>
      </c>
      <c r="AF11" s="150"/>
      <c r="AG11" s="75">
        <f t="shared" si="8"/>
        <v>9</v>
      </c>
      <c r="AH11" s="54">
        <v>20.09</v>
      </c>
      <c r="AI11" s="55">
        <v>432</v>
      </c>
      <c r="AJ11" s="150"/>
      <c r="AK11" s="75">
        <f t="shared" si="9"/>
        <v>9</v>
      </c>
      <c r="AL11" s="54">
        <v>17.79</v>
      </c>
      <c r="AM11" s="55">
        <v>147</v>
      </c>
      <c r="AN11" s="150"/>
      <c r="AO11" s="75">
        <f t="shared" si="10"/>
        <v>9</v>
      </c>
      <c r="AP11" s="54"/>
      <c r="AQ11" s="55"/>
      <c r="AR11" s="150"/>
      <c r="AS11" s="75">
        <f t="shared" si="11"/>
        <v>9</v>
      </c>
      <c r="AT11" s="54">
        <v>12.23</v>
      </c>
      <c r="AU11" s="55">
        <v>312</v>
      </c>
      <c r="AV11" s="150"/>
      <c r="AW11" s="67"/>
    </row>
    <row r="12" spans="1:49" s="49" customFormat="1" ht="11.25" x14ac:dyDescent="0.2">
      <c r="A12" s="73">
        <f t="shared" si="0"/>
        <v>10</v>
      </c>
      <c r="B12" s="54">
        <v>15.6</v>
      </c>
      <c r="C12" s="55">
        <v>40</v>
      </c>
      <c r="D12" s="150">
        <v>4.1666666666666664E-2</v>
      </c>
      <c r="E12" s="75">
        <f t="shared" si="1"/>
        <v>10</v>
      </c>
      <c r="F12" s="54"/>
      <c r="G12" s="55"/>
      <c r="H12" s="150">
        <v>4.1666666666666664E-2</v>
      </c>
      <c r="I12" s="75">
        <f t="shared" si="2"/>
        <v>10</v>
      </c>
      <c r="J12" s="54"/>
      <c r="K12" s="55"/>
      <c r="L12" s="150"/>
      <c r="M12" s="75">
        <f t="shared" si="3"/>
        <v>10</v>
      </c>
      <c r="N12" s="54">
        <v>35.520000000000003</v>
      </c>
      <c r="O12" s="55">
        <v>547</v>
      </c>
      <c r="P12" s="150"/>
      <c r="Q12" s="75">
        <f t="shared" si="4"/>
        <v>10</v>
      </c>
      <c r="R12" s="54">
        <v>67.239999999999995</v>
      </c>
      <c r="S12" s="55">
        <v>680</v>
      </c>
      <c r="T12" s="150"/>
      <c r="U12" s="75">
        <f t="shared" si="5"/>
        <v>10</v>
      </c>
      <c r="V12" s="54">
        <v>40.130000000000003</v>
      </c>
      <c r="W12" s="55">
        <v>80</v>
      </c>
      <c r="X12" s="150"/>
      <c r="Y12" s="75">
        <f t="shared" si="6"/>
        <v>10</v>
      </c>
      <c r="Z12" s="54">
        <v>91.5</v>
      </c>
      <c r="AA12" s="55">
        <v>1090</v>
      </c>
      <c r="AB12" s="150"/>
      <c r="AC12" s="75">
        <f t="shared" si="7"/>
        <v>10</v>
      </c>
      <c r="AD12" s="54">
        <v>16</v>
      </c>
      <c r="AE12" s="55">
        <v>60</v>
      </c>
      <c r="AF12" s="150"/>
      <c r="AG12" s="75">
        <f t="shared" si="8"/>
        <v>10</v>
      </c>
      <c r="AJ12" s="150"/>
      <c r="AK12" s="75">
        <f t="shared" si="9"/>
        <v>10</v>
      </c>
      <c r="AL12" s="54"/>
      <c r="AM12" s="55"/>
      <c r="AN12" s="150"/>
      <c r="AO12" s="75">
        <f t="shared" si="10"/>
        <v>10</v>
      </c>
      <c r="AP12" s="54"/>
      <c r="AQ12" s="55"/>
      <c r="AR12" s="150"/>
      <c r="AS12" s="75">
        <f t="shared" si="11"/>
        <v>10</v>
      </c>
      <c r="AT12" s="54"/>
      <c r="AU12" s="55"/>
      <c r="AV12" s="150"/>
      <c r="AW12" s="67"/>
    </row>
    <row r="13" spans="1:49" s="49" customFormat="1" ht="11.25" x14ac:dyDescent="0.2">
      <c r="A13" s="73">
        <f t="shared" si="0"/>
        <v>11</v>
      </c>
      <c r="B13" s="54">
        <v>15.6</v>
      </c>
      <c r="C13" s="55">
        <v>40</v>
      </c>
      <c r="D13" s="150">
        <v>4.1666666666666664E-2</v>
      </c>
      <c r="E13" s="75">
        <f t="shared" si="1"/>
        <v>11</v>
      </c>
      <c r="F13" s="54">
        <v>10.52</v>
      </c>
      <c r="G13" s="55">
        <v>60</v>
      </c>
      <c r="H13" s="150"/>
      <c r="I13" s="75">
        <f t="shared" si="2"/>
        <v>11</v>
      </c>
      <c r="J13" s="54"/>
      <c r="K13" s="55"/>
      <c r="L13" s="150"/>
      <c r="M13" s="75">
        <f t="shared" si="3"/>
        <v>11</v>
      </c>
      <c r="N13" s="54">
        <v>36.6</v>
      </c>
      <c r="O13" s="55">
        <v>778</v>
      </c>
      <c r="P13" s="150"/>
      <c r="Q13" s="75">
        <f t="shared" si="4"/>
        <v>11</v>
      </c>
      <c r="R13" s="54"/>
      <c r="S13" s="55"/>
      <c r="T13" s="150"/>
      <c r="U13" s="75">
        <f t="shared" si="5"/>
        <v>11</v>
      </c>
      <c r="V13" s="54"/>
      <c r="W13" s="55"/>
      <c r="X13" s="150"/>
      <c r="Y13" s="75">
        <f t="shared" si="6"/>
        <v>11</v>
      </c>
      <c r="Z13" s="54"/>
      <c r="AA13" s="55"/>
      <c r="AB13" s="150"/>
      <c r="AC13" s="75">
        <f t="shared" si="7"/>
        <v>11</v>
      </c>
      <c r="AD13" s="54">
        <v>20.6</v>
      </c>
      <c r="AE13" s="55">
        <v>85</v>
      </c>
      <c r="AF13" s="150"/>
      <c r="AG13" s="75">
        <f t="shared" si="8"/>
        <v>11</v>
      </c>
      <c r="AH13" s="54">
        <v>17.18</v>
      </c>
      <c r="AI13" s="55">
        <v>369</v>
      </c>
      <c r="AJ13" s="150"/>
      <c r="AK13" s="75">
        <f t="shared" si="9"/>
        <v>11</v>
      </c>
      <c r="AL13" s="54">
        <v>20.07</v>
      </c>
      <c r="AM13" s="55">
        <v>30</v>
      </c>
      <c r="AN13" s="150"/>
      <c r="AO13" s="75">
        <f t="shared" si="10"/>
        <v>11</v>
      </c>
      <c r="AP13" s="54">
        <v>15.82</v>
      </c>
      <c r="AQ13" s="55">
        <v>15</v>
      </c>
      <c r="AR13" s="150"/>
      <c r="AS13" s="75">
        <f t="shared" si="11"/>
        <v>11</v>
      </c>
      <c r="AT13" s="54">
        <v>20.78</v>
      </c>
      <c r="AU13" s="55">
        <v>40</v>
      </c>
      <c r="AV13" s="150"/>
      <c r="AW13" s="67"/>
    </row>
    <row r="14" spans="1:49" s="49" customFormat="1" ht="11.25" x14ac:dyDescent="0.2">
      <c r="A14" s="73">
        <f t="shared" si="0"/>
        <v>12</v>
      </c>
      <c r="B14" s="54">
        <v>10.5</v>
      </c>
      <c r="C14" s="55">
        <v>21</v>
      </c>
      <c r="D14" s="150"/>
      <c r="E14" s="75">
        <f t="shared" si="1"/>
        <v>12</v>
      </c>
      <c r="F14" s="54"/>
      <c r="G14" s="55"/>
      <c r="H14" s="150">
        <v>3.125E-2</v>
      </c>
      <c r="I14" s="75">
        <f t="shared" si="2"/>
        <v>12</v>
      </c>
      <c r="J14" s="54"/>
      <c r="K14" s="55"/>
      <c r="L14" s="150">
        <v>4.1666666666666664E-2</v>
      </c>
      <c r="M14" s="75">
        <f t="shared" si="3"/>
        <v>12</v>
      </c>
      <c r="N14" s="54">
        <v>27.35</v>
      </c>
      <c r="O14" s="55">
        <v>463</v>
      </c>
      <c r="P14" s="150"/>
      <c r="Q14" s="75">
        <f t="shared" si="4"/>
        <v>12</v>
      </c>
      <c r="R14" s="54">
        <v>39.33</v>
      </c>
      <c r="S14" s="55">
        <v>25</v>
      </c>
      <c r="T14" s="150"/>
      <c r="U14" s="75">
        <f t="shared" si="5"/>
        <v>12</v>
      </c>
      <c r="V14" s="54">
        <v>58.74</v>
      </c>
      <c r="W14" s="55">
        <v>715</v>
      </c>
      <c r="X14" s="150"/>
      <c r="Y14" s="75">
        <f t="shared" si="6"/>
        <v>12</v>
      </c>
      <c r="Z14" s="54">
        <v>7.37</v>
      </c>
      <c r="AA14" s="55">
        <v>0</v>
      </c>
      <c r="AB14" s="150"/>
      <c r="AC14" s="75">
        <f t="shared" si="7"/>
        <v>12</v>
      </c>
      <c r="AD14" s="54">
        <v>19.21</v>
      </c>
      <c r="AE14" s="55">
        <v>135</v>
      </c>
      <c r="AF14" s="150"/>
      <c r="AG14" s="75">
        <f t="shared" si="8"/>
        <v>12</v>
      </c>
      <c r="AH14" s="54">
        <v>44.76</v>
      </c>
      <c r="AI14" s="55">
        <v>795</v>
      </c>
      <c r="AJ14" s="150"/>
      <c r="AK14" s="75">
        <f t="shared" si="9"/>
        <v>12</v>
      </c>
      <c r="AL14" s="54"/>
      <c r="AM14" s="55"/>
      <c r="AN14" s="150"/>
      <c r="AO14" s="75">
        <f t="shared" si="10"/>
        <v>12</v>
      </c>
      <c r="AP14" s="54"/>
      <c r="AQ14" s="55"/>
      <c r="AR14" s="150"/>
      <c r="AS14" s="75">
        <f t="shared" si="11"/>
        <v>12</v>
      </c>
      <c r="AT14" s="54"/>
      <c r="AU14" s="55"/>
      <c r="AV14" s="150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50"/>
      <c r="E15" s="75">
        <f t="shared" si="1"/>
        <v>13</v>
      </c>
      <c r="F15" s="54">
        <v>10.61</v>
      </c>
      <c r="G15" s="55">
        <v>15</v>
      </c>
      <c r="H15" s="150">
        <v>4.1666666666666664E-2</v>
      </c>
      <c r="I15" s="75">
        <f t="shared" si="2"/>
        <v>13</v>
      </c>
      <c r="J15" s="54">
        <v>22.95</v>
      </c>
      <c r="K15" s="55">
        <v>160</v>
      </c>
      <c r="L15" s="150">
        <v>4.1666666666666664E-2</v>
      </c>
      <c r="M15" s="75">
        <f t="shared" si="3"/>
        <v>13</v>
      </c>
      <c r="N15" s="54">
        <v>46.37</v>
      </c>
      <c r="O15" s="55">
        <v>425</v>
      </c>
      <c r="P15" s="150"/>
      <c r="Q15" s="75">
        <f t="shared" si="4"/>
        <v>13</v>
      </c>
      <c r="R15" s="54">
        <v>12.92</v>
      </c>
      <c r="S15" s="55">
        <v>20</v>
      </c>
      <c r="T15" s="150"/>
      <c r="U15" s="75">
        <f t="shared" si="5"/>
        <v>13</v>
      </c>
      <c r="V15" s="54"/>
      <c r="W15" s="55"/>
      <c r="X15" s="150"/>
      <c r="Y15" s="75">
        <f t="shared" si="6"/>
        <v>13</v>
      </c>
      <c r="Z15" s="54">
        <v>16.850000000000001</v>
      </c>
      <c r="AA15" s="55">
        <v>536</v>
      </c>
      <c r="AB15" s="150"/>
      <c r="AC15" s="75">
        <f t="shared" si="7"/>
        <v>13</v>
      </c>
      <c r="AD15" s="54">
        <v>17.739999999999998</v>
      </c>
      <c r="AE15" s="55">
        <v>91</v>
      </c>
      <c r="AF15" s="150"/>
      <c r="AG15" s="75">
        <f t="shared" si="8"/>
        <v>13</v>
      </c>
      <c r="AH15" s="54">
        <v>29.8</v>
      </c>
      <c r="AI15" s="55">
        <v>140</v>
      </c>
      <c r="AJ15" s="150"/>
      <c r="AK15" s="75">
        <f t="shared" si="9"/>
        <v>13</v>
      </c>
      <c r="AL15" s="54"/>
      <c r="AM15" s="55"/>
      <c r="AN15" s="150">
        <v>4.1666666666666664E-2</v>
      </c>
      <c r="AO15" s="75">
        <f t="shared" si="10"/>
        <v>13</v>
      </c>
      <c r="AP15" s="54">
        <v>19.22</v>
      </c>
      <c r="AQ15" s="55">
        <v>20</v>
      </c>
      <c r="AR15" s="150"/>
      <c r="AS15" s="75">
        <f t="shared" si="11"/>
        <v>13</v>
      </c>
      <c r="AT15" s="54">
        <v>23.08</v>
      </c>
      <c r="AU15" s="55">
        <v>44</v>
      </c>
      <c r="AV15" s="150">
        <v>2.0833333333333332E-2</v>
      </c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50"/>
      <c r="E16" s="75">
        <f t="shared" si="1"/>
        <v>14</v>
      </c>
      <c r="F16" s="54">
        <v>11.95</v>
      </c>
      <c r="G16" s="55">
        <v>315</v>
      </c>
      <c r="H16" s="150"/>
      <c r="I16" s="75">
        <f t="shared" si="2"/>
        <v>14</v>
      </c>
      <c r="J16" s="54">
        <v>23</v>
      </c>
      <c r="K16" s="55">
        <v>280</v>
      </c>
      <c r="L16" s="150"/>
      <c r="M16" s="75">
        <f t="shared" si="3"/>
        <v>14</v>
      </c>
      <c r="N16" s="54">
        <v>14.51</v>
      </c>
      <c r="O16" s="55">
        <v>10</v>
      </c>
      <c r="P16" s="150"/>
      <c r="Q16" s="75">
        <f t="shared" si="4"/>
        <v>14</v>
      </c>
      <c r="T16" s="150"/>
      <c r="U16" s="75">
        <f t="shared" si="5"/>
        <v>14</v>
      </c>
      <c r="V16" s="54">
        <v>124</v>
      </c>
      <c r="W16" s="55">
        <v>1445</v>
      </c>
      <c r="X16" s="150"/>
      <c r="Y16" s="75">
        <f t="shared" si="6"/>
        <v>14</v>
      </c>
      <c r="Z16" s="54">
        <v>12.94</v>
      </c>
      <c r="AA16" s="55">
        <v>40</v>
      </c>
      <c r="AB16" s="150"/>
      <c r="AC16" s="75">
        <f t="shared" si="7"/>
        <v>14</v>
      </c>
      <c r="AD16" s="54">
        <v>7.1</v>
      </c>
      <c r="AE16" s="55">
        <v>5</v>
      </c>
      <c r="AF16" s="150"/>
      <c r="AG16" s="75">
        <f t="shared" si="8"/>
        <v>14</v>
      </c>
      <c r="AH16" s="54"/>
      <c r="AI16" s="55"/>
      <c r="AJ16" s="150"/>
      <c r="AK16" s="75">
        <f t="shared" si="9"/>
        <v>14</v>
      </c>
      <c r="AL16" s="54"/>
      <c r="AM16" s="55"/>
      <c r="AN16" s="150"/>
      <c r="AO16" s="75">
        <f t="shared" si="10"/>
        <v>14</v>
      </c>
      <c r="AP16" s="54">
        <v>17.21</v>
      </c>
      <c r="AQ16" s="55">
        <v>10</v>
      </c>
      <c r="AR16" s="150"/>
      <c r="AS16" s="75">
        <f t="shared" si="11"/>
        <v>14</v>
      </c>
      <c r="AT16" s="54"/>
      <c r="AU16" s="55"/>
      <c r="AV16" s="150"/>
      <c r="AW16" s="67"/>
    </row>
    <row r="17" spans="1:49" s="49" customFormat="1" ht="11.25" x14ac:dyDescent="0.2">
      <c r="A17" s="73">
        <f t="shared" si="0"/>
        <v>15</v>
      </c>
      <c r="B17" s="54">
        <v>10.119999999999999</v>
      </c>
      <c r="C17" s="55">
        <v>90</v>
      </c>
      <c r="D17" s="150"/>
      <c r="E17" s="75">
        <f t="shared" si="1"/>
        <v>15</v>
      </c>
      <c r="F17" s="54">
        <v>23.9</v>
      </c>
      <c r="G17" s="55">
        <v>630</v>
      </c>
      <c r="H17" s="150"/>
      <c r="I17" s="75">
        <f t="shared" si="2"/>
        <v>15</v>
      </c>
      <c r="J17" s="54">
        <v>29</v>
      </c>
      <c r="K17" s="55">
        <v>90</v>
      </c>
      <c r="L17" s="150"/>
      <c r="M17" s="75">
        <f t="shared" si="3"/>
        <v>15</v>
      </c>
      <c r="N17" s="54"/>
      <c r="O17" s="55"/>
      <c r="P17" s="150"/>
      <c r="Q17" s="75">
        <f t="shared" si="4"/>
        <v>15</v>
      </c>
      <c r="T17" s="150"/>
      <c r="U17" s="75">
        <f t="shared" si="5"/>
        <v>15</v>
      </c>
      <c r="V17" s="54"/>
      <c r="W17" s="55"/>
      <c r="X17" s="150"/>
      <c r="Y17" s="75">
        <f t="shared" si="6"/>
        <v>15</v>
      </c>
      <c r="Z17" s="54">
        <v>25.11</v>
      </c>
      <c r="AA17" s="55">
        <v>392</v>
      </c>
      <c r="AB17" s="150"/>
      <c r="AC17" s="75">
        <f t="shared" si="7"/>
        <v>15</v>
      </c>
      <c r="AD17" s="54">
        <v>55.08</v>
      </c>
      <c r="AE17" s="55">
        <v>1305</v>
      </c>
      <c r="AF17" s="150"/>
      <c r="AG17" s="75">
        <f t="shared" si="8"/>
        <v>15</v>
      </c>
      <c r="AH17" s="54">
        <v>36.92</v>
      </c>
      <c r="AI17" s="55">
        <v>443</v>
      </c>
      <c r="AJ17" s="150"/>
      <c r="AK17" s="75">
        <f t="shared" si="9"/>
        <v>15</v>
      </c>
      <c r="AL17" s="54"/>
      <c r="AM17" s="55"/>
      <c r="AN17" s="150">
        <v>4.1666666666666664E-2</v>
      </c>
      <c r="AO17" s="75">
        <f t="shared" si="10"/>
        <v>15</v>
      </c>
      <c r="AP17" s="54">
        <v>10.1</v>
      </c>
      <c r="AQ17" s="55">
        <v>306</v>
      </c>
      <c r="AR17" s="150"/>
      <c r="AS17" s="75">
        <f t="shared" si="11"/>
        <v>15</v>
      </c>
      <c r="AT17" s="54">
        <v>16.86</v>
      </c>
      <c r="AU17" s="55">
        <v>20</v>
      </c>
      <c r="AV17" s="150"/>
      <c r="AW17" s="67"/>
    </row>
    <row r="18" spans="1:49" s="49" customFormat="1" ht="11.25" x14ac:dyDescent="0.2">
      <c r="A18" s="73">
        <f t="shared" si="0"/>
        <v>16</v>
      </c>
      <c r="B18" s="54"/>
      <c r="C18" s="55"/>
      <c r="D18" s="150">
        <v>8.3333333333333329E-2</v>
      </c>
      <c r="E18" s="75">
        <f t="shared" si="1"/>
        <v>16</v>
      </c>
      <c r="F18" s="54"/>
      <c r="G18" s="55"/>
      <c r="H18" s="150"/>
      <c r="I18" s="75">
        <f t="shared" si="2"/>
        <v>16</v>
      </c>
      <c r="J18" s="54">
        <v>10.15</v>
      </c>
      <c r="K18" s="55">
        <v>306</v>
      </c>
      <c r="L18" s="150"/>
      <c r="M18" s="75">
        <f t="shared" si="3"/>
        <v>16</v>
      </c>
      <c r="N18" s="54">
        <v>10.72</v>
      </c>
      <c r="O18" s="55">
        <v>65</v>
      </c>
      <c r="P18" s="150"/>
      <c r="Q18" s="75">
        <f t="shared" si="4"/>
        <v>16</v>
      </c>
      <c r="R18" s="54">
        <v>86.53</v>
      </c>
      <c r="S18" s="55">
        <v>1105</v>
      </c>
      <c r="T18" s="150"/>
      <c r="U18" s="75">
        <f t="shared" si="5"/>
        <v>16</v>
      </c>
      <c r="V18" s="54">
        <v>13.6</v>
      </c>
      <c r="W18" s="55">
        <v>10</v>
      </c>
      <c r="X18" s="150"/>
      <c r="Y18" s="75">
        <f t="shared" si="6"/>
        <v>16</v>
      </c>
      <c r="Z18" s="54">
        <v>16.5</v>
      </c>
      <c r="AA18" s="55">
        <v>357</v>
      </c>
      <c r="AB18" s="150"/>
      <c r="AC18" s="75">
        <f t="shared" si="7"/>
        <v>16</v>
      </c>
      <c r="AD18" s="54">
        <v>48.78</v>
      </c>
      <c r="AE18" s="55">
        <v>679</v>
      </c>
      <c r="AF18" s="150"/>
      <c r="AG18" s="75">
        <f t="shared" si="8"/>
        <v>16</v>
      </c>
      <c r="AH18" s="54">
        <v>24.22</v>
      </c>
      <c r="AI18" s="55">
        <v>25</v>
      </c>
      <c r="AJ18" s="150"/>
      <c r="AK18" s="75">
        <f t="shared" si="9"/>
        <v>16</v>
      </c>
      <c r="AL18" s="54"/>
      <c r="AM18" s="55"/>
      <c r="AN18" s="150"/>
      <c r="AO18" s="75">
        <f t="shared" si="10"/>
        <v>16</v>
      </c>
      <c r="AP18" s="54"/>
      <c r="AQ18" s="55"/>
      <c r="AR18" s="150"/>
      <c r="AS18" s="75">
        <f t="shared" si="11"/>
        <v>16</v>
      </c>
      <c r="AT18" s="54">
        <v>17.37</v>
      </c>
      <c r="AU18" s="55">
        <v>26</v>
      </c>
      <c r="AV18" s="150"/>
      <c r="AW18" s="67"/>
    </row>
    <row r="19" spans="1:49" s="49" customFormat="1" ht="11.25" x14ac:dyDescent="0.2">
      <c r="A19" s="73">
        <f t="shared" si="0"/>
        <v>17</v>
      </c>
      <c r="B19" s="54">
        <v>15.56</v>
      </c>
      <c r="C19" s="55">
        <v>85</v>
      </c>
      <c r="D19" s="150"/>
      <c r="E19" s="75">
        <f t="shared" si="1"/>
        <v>17</v>
      </c>
      <c r="F19" s="54"/>
      <c r="G19" s="55"/>
      <c r="H19" s="150">
        <v>2.0833333333333332E-2</v>
      </c>
      <c r="I19" s="75">
        <f t="shared" si="2"/>
        <v>17</v>
      </c>
      <c r="J19" s="54">
        <v>16.77</v>
      </c>
      <c r="K19" s="55">
        <v>336</v>
      </c>
      <c r="L19" s="150"/>
      <c r="M19" s="75">
        <f t="shared" si="3"/>
        <v>17</v>
      </c>
      <c r="N19" s="54"/>
      <c r="O19" s="55"/>
      <c r="P19" s="150"/>
      <c r="Q19" s="75">
        <f t="shared" si="4"/>
        <v>17</v>
      </c>
      <c r="R19" s="54">
        <v>73.650000000000006</v>
      </c>
      <c r="S19" s="55">
        <v>630</v>
      </c>
      <c r="T19" s="150"/>
      <c r="U19" s="75">
        <f t="shared" si="5"/>
        <v>17</v>
      </c>
      <c r="V19" s="54"/>
      <c r="W19" s="55"/>
      <c r="X19" s="150"/>
      <c r="Y19" s="75">
        <f t="shared" si="6"/>
        <v>17</v>
      </c>
      <c r="Z19" s="54">
        <v>11.8</v>
      </c>
      <c r="AA19" s="55">
        <v>5</v>
      </c>
      <c r="AB19" s="150"/>
      <c r="AC19" s="75">
        <f t="shared" si="7"/>
        <v>17</v>
      </c>
      <c r="AD19" s="54"/>
      <c r="AE19" s="55"/>
      <c r="AF19" s="150"/>
      <c r="AG19" s="75">
        <f t="shared" si="8"/>
        <v>17</v>
      </c>
      <c r="AH19" s="54"/>
      <c r="AI19" s="55"/>
      <c r="AJ19" s="150"/>
      <c r="AK19" s="75">
        <f t="shared" si="9"/>
        <v>17</v>
      </c>
      <c r="AL19" s="54"/>
      <c r="AM19" s="55"/>
      <c r="AN19" s="150"/>
      <c r="AO19" s="75">
        <f t="shared" si="10"/>
        <v>17</v>
      </c>
      <c r="AP19" s="54"/>
      <c r="AQ19" s="55"/>
      <c r="AR19" s="150"/>
      <c r="AS19" s="75">
        <f t="shared" si="11"/>
        <v>17</v>
      </c>
      <c r="AT19" s="54"/>
      <c r="AU19" s="55"/>
      <c r="AV19" s="150"/>
      <c r="AW19" s="67"/>
    </row>
    <row r="20" spans="1:49" s="49" customFormat="1" ht="11.25" x14ac:dyDescent="0.2">
      <c r="A20" s="73">
        <f t="shared" si="0"/>
        <v>18</v>
      </c>
      <c r="B20" s="54"/>
      <c r="C20" s="55"/>
      <c r="D20" s="150"/>
      <c r="E20" s="75">
        <f t="shared" si="1"/>
        <v>18</v>
      </c>
      <c r="F20" s="54">
        <v>16.61</v>
      </c>
      <c r="G20" s="55">
        <v>158</v>
      </c>
      <c r="H20" s="150"/>
      <c r="I20" s="75">
        <f t="shared" si="2"/>
        <v>18</v>
      </c>
      <c r="J20" s="54"/>
      <c r="K20" s="55"/>
      <c r="L20" s="150"/>
      <c r="M20" s="75">
        <f t="shared" si="3"/>
        <v>18</v>
      </c>
      <c r="N20" s="54"/>
      <c r="O20" s="55"/>
      <c r="P20" s="150"/>
      <c r="Q20" s="75">
        <f t="shared" si="4"/>
        <v>18</v>
      </c>
      <c r="R20" s="54"/>
      <c r="S20" s="55"/>
      <c r="T20" s="150"/>
      <c r="U20" s="75">
        <f t="shared" si="5"/>
        <v>18</v>
      </c>
      <c r="V20" s="54">
        <v>15.51</v>
      </c>
      <c r="W20" s="55">
        <v>50</v>
      </c>
      <c r="X20" s="150"/>
      <c r="Y20" s="75">
        <f t="shared" si="6"/>
        <v>18</v>
      </c>
      <c r="Z20" s="54">
        <v>16.47</v>
      </c>
      <c r="AA20" s="55">
        <v>95</v>
      </c>
      <c r="AB20" s="150"/>
      <c r="AC20" s="75">
        <f t="shared" si="7"/>
        <v>18</v>
      </c>
      <c r="AD20" s="54">
        <v>21.04</v>
      </c>
      <c r="AE20" s="55">
        <v>236</v>
      </c>
      <c r="AF20" s="150"/>
      <c r="AG20" s="75">
        <f t="shared" si="8"/>
        <v>18</v>
      </c>
      <c r="AH20" s="54"/>
      <c r="AI20" s="55"/>
      <c r="AJ20" s="150"/>
      <c r="AK20" s="75">
        <f t="shared" si="9"/>
        <v>18</v>
      </c>
      <c r="AL20" s="54">
        <v>42.77</v>
      </c>
      <c r="AM20" s="55">
        <v>120</v>
      </c>
      <c r="AN20" s="150"/>
      <c r="AO20" s="75">
        <f t="shared" si="10"/>
        <v>18</v>
      </c>
      <c r="AP20" s="54">
        <v>10.1</v>
      </c>
      <c r="AQ20" s="55">
        <v>306</v>
      </c>
      <c r="AR20" s="150"/>
      <c r="AS20" s="75">
        <f t="shared" si="11"/>
        <v>18</v>
      </c>
      <c r="AT20" s="54"/>
      <c r="AU20" s="55"/>
      <c r="AV20" s="150"/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50"/>
      <c r="E21" s="75">
        <f t="shared" si="1"/>
        <v>19</v>
      </c>
      <c r="F21" s="54">
        <v>15.93</v>
      </c>
      <c r="G21" s="55">
        <v>51</v>
      </c>
      <c r="H21" s="150"/>
      <c r="I21" s="75">
        <f t="shared" si="2"/>
        <v>19</v>
      </c>
      <c r="J21" s="54">
        <v>13.7</v>
      </c>
      <c r="K21" s="55">
        <v>5</v>
      </c>
      <c r="L21" s="150"/>
      <c r="M21" s="75">
        <f t="shared" si="3"/>
        <v>19</v>
      </c>
      <c r="N21" s="54">
        <v>48.54</v>
      </c>
      <c r="O21" s="55">
        <v>485</v>
      </c>
      <c r="P21" s="150"/>
      <c r="Q21" s="75">
        <f t="shared" si="4"/>
        <v>19</v>
      </c>
      <c r="R21" s="54">
        <v>28.48</v>
      </c>
      <c r="S21" s="55">
        <v>463</v>
      </c>
      <c r="T21" s="150"/>
      <c r="U21" s="75">
        <f t="shared" si="5"/>
        <v>19</v>
      </c>
      <c r="V21" s="54">
        <v>28.26</v>
      </c>
      <c r="W21" s="55">
        <v>190</v>
      </c>
      <c r="X21" s="150"/>
      <c r="Y21" s="75">
        <f t="shared" si="6"/>
        <v>19</v>
      </c>
      <c r="Z21" s="54">
        <v>43.76</v>
      </c>
      <c r="AA21" s="55">
        <v>230</v>
      </c>
      <c r="AB21" s="150"/>
      <c r="AC21" s="75">
        <f t="shared" si="7"/>
        <v>19</v>
      </c>
      <c r="AD21" s="54">
        <v>17.079999999999998</v>
      </c>
      <c r="AE21" s="55">
        <v>360</v>
      </c>
      <c r="AF21" s="150"/>
      <c r="AG21" s="75">
        <f t="shared" si="8"/>
        <v>19</v>
      </c>
      <c r="AH21" s="54"/>
      <c r="AI21" s="55"/>
      <c r="AJ21" s="150"/>
      <c r="AK21" s="75">
        <f t="shared" si="9"/>
        <v>19</v>
      </c>
      <c r="AL21" s="54">
        <v>28.33</v>
      </c>
      <c r="AM21" s="55">
        <v>25</v>
      </c>
      <c r="AN21" s="150"/>
      <c r="AO21" s="75">
        <f t="shared" si="10"/>
        <v>19</v>
      </c>
      <c r="AP21" s="54"/>
      <c r="AQ21" s="55"/>
      <c r="AR21" s="150"/>
      <c r="AS21" s="75">
        <f t="shared" si="11"/>
        <v>19</v>
      </c>
      <c r="AT21" s="54"/>
      <c r="AU21" s="55"/>
      <c r="AV21" s="150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50">
        <v>0.125</v>
      </c>
      <c r="E22" s="75">
        <f t="shared" si="1"/>
        <v>20</v>
      </c>
      <c r="F22" s="54"/>
      <c r="G22" s="55"/>
      <c r="H22" s="150"/>
      <c r="I22" s="75">
        <f t="shared" si="2"/>
        <v>20</v>
      </c>
      <c r="J22" s="54">
        <v>15.89</v>
      </c>
      <c r="K22" s="55">
        <v>19</v>
      </c>
      <c r="L22" s="150"/>
      <c r="M22" s="75">
        <f t="shared" si="3"/>
        <v>20</v>
      </c>
      <c r="N22" s="54">
        <v>52.97</v>
      </c>
      <c r="O22" s="55">
        <v>650</v>
      </c>
      <c r="P22" s="150"/>
      <c r="Q22" s="75">
        <f t="shared" si="4"/>
        <v>20</v>
      </c>
      <c r="R22" s="54">
        <v>14.16</v>
      </c>
      <c r="S22" s="55">
        <v>5</v>
      </c>
      <c r="T22" s="150"/>
      <c r="U22" s="75">
        <f t="shared" si="5"/>
        <v>20</v>
      </c>
      <c r="V22" s="54">
        <v>60.12</v>
      </c>
      <c r="W22" s="55">
        <v>746</v>
      </c>
      <c r="X22" s="150"/>
      <c r="Y22" s="75">
        <f t="shared" si="6"/>
        <v>20</v>
      </c>
      <c r="Z22" s="54">
        <v>26.53</v>
      </c>
      <c r="AA22" s="55">
        <v>525</v>
      </c>
      <c r="AB22" s="150"/>
      <c r="AC22" s="75">
        <f t="shared" si="7"/>
        <v>20</v>
      </c>
      <c r="AD22" s="54">
        <v>7.25</v>
      </c>
      <c r="AE22" s="55">
        <v>18</v>
      </c>
      <c r="AF22" s="150"/>
      <c r="AG22" s="75">
        <f t="shared" si="8"/>
        <v>20</v>
      </c>
      <c r="AH22" s="54">
        <v>24.68</v>
      </c>
      <c r="AI22" s="55">
        <v>110</v>
      </c>
      <c r="AJ22" s="150"/>
      <c r="AK22" s="75">
        <f t="shared" si="9"/>
        <v>20</v>
      </c>
      <c r="AL22" s="54">
        <v>12.67</v>
      </c>
      <c r="AM22" s="55">
        <v>40</v>
      </c>
      <c r="AN22" s="150"/>
      <c r="AO22" s="75">
        <f t="shared" si="10"/>
        <v>20</v>
      </c>
      <c r="AP22" s="54">
        <v>10.1</v>
      </c>
      <c r="AQ22" s="55">
        <v>306</v>
      </c>
      <c r="AR22" s="150"/>
      <c r="AS22" s="75">
        <f t="shared" si="11"/>
        <v>20</v>
      </c>
      <c r="AT22" s="54"/>
      <c r="AU22" s="55"/>
      <c r="AV22" s="150">
        <v>2.0833333333333332E-2</v>
      </c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50"/>
      <c r="E23" s="75">
        <f t="shared" si="1"/>
        <v>21</v>
      </c>
      <c r="F23" s="54"/>
      <c r="G23" s="55"/>
      <c r="H23" s="150"/>
      <c r="I23" s="75">
        <f t="shared" si="2"/>
        <v>21</v>
      </c>
      <c r="J23" s="54">
        <v>89.7</v>
      </c>
      <c r="K23" s="55">
        <v>730</v>
      </c>
      <c r="L23" s="150"/>
      <c r="M23" s="75">
        <f t="shared" si="3"/>
        <v>21</v>
      </c>
      <c r="N23" s="54">
        <v>17.059999999999999</v>
      </c>
      <c r="O23" s="55">
        <v>375</v>
      </c>
      <c r="P23" s="150"/>
      <c r="Q23" s="75">
        <f t="shared" si="4"/>
        <v>21</v>
      </c>
      <c r="R23" s="54">
        <v>53.53</v>
      </c>
      <c r="S23" s="55">
        <v>959</v>
      </c>
      <c r="T23" s="150"/>
      <c r="U23" s="75">
        <f t="shared" si="5"/>
        <v>21</v>
      </c>
      <c r="V23" s="54">
        <v>24.28</v>
      </c>
      <c r="W23" s="55">
        <v>90</v>
      </c>
      <c r="X23" s="150"/>
      <c r="Y23" s="75">
        <f t="shared" si="6"/>
        <v>21</v>
      </c>
      <c r="Z23" s="54">
        <v>12.71</v>
      </c>
      <c r="AA23" s="55">
        <v>35</v>
      </c>
      <c r="AB23" s="150"/>
      <c r="AC23" s="75">
        <f t="shared" si="7"/>
        <v>21</v>
      </c>
      <c r="AD23" s="54">
        <v>11.93</v>
      </c>
      <c r="AE23" s="55">
        <v>15</v>
      </c>
      <c r="AF23" s="150"/>
      <c r="AG23" s="75">
        <f t="shared" si="8"/>
        <v>21</v>
      </c>
      <c r="AH23" s="54">
        <v>20.100000000000001</v>
      </c>
      <c r="AI23" s="55">
        <v>430</v>
      </c>
      <c r="AJ23" s="150"/>
      <c r="AK23" s="75">
        <f t="shared" si="9"/>
        <v>21</v>
      </c>
      <c r="AL23" s="54">
        <v>16.86</v>
      </c>
      <c r="AM23" s="55">
        <v>20</v>
      </c>
      <c r="AN23" s="150"/>
      <c r="AO23" s="75">
        <f t="shared" si="10"/>
        <v>21</v>
      </c>
      <c r="AP23" s="54"/>
      <c r="AQ23" s="55"/>
      <c r="AR23" s="150"/>
      <c r="AS23" s="75">
        <f t="shared" si="11"/>
        <v>21</v>
      </c>
      <c r="AT23" s="54"/>
      <c r="AU23" s="55"/>
      <c r="AV23" s="150"/>
      <c r="AW23" s="67"/>
    </row>
    <row r="24" spans="1:49" s="49" customFormat="1" ht="11.25" x14ac:dyDescent="0.2">
      <c r="A24" s="73">
        <f t="shared" si="0"/>
        <v>22</v>
      </c>
      <c r="B24" s="54">
        <v>11.65</v>
      </c>
      <c r="C24" s="55">
        <v>70</v>
      </c>
      <c r="D24" s="150"/>
      <c r="E24" s="75">
        <f t="shared" si="1"/>
        <v>22</v>
      </c>
      <c r="F24" s="54"/>
      <c r="G24" s="55"/>
      <c r="H24" s="150">
        <v>5.2083333333333336E-2</v>
      </c>
      <c r="I24" s="75">
        <f t="shared" si="2"/>
        <v>22</v>
      </c>
      <c r="J24" s="54">
        <v>58.83</v>
      </c>
      <c r="K24" s="55">
        <v>577</v>
      </c>
      <c r="L24" s="150"/>
      <c r="M24" s="75">
        <f t="shared" si="3"/>
        <v>22</v>
      </c>
      <c r="N24" s="54"/>
      <c r="O24" s="55"/>
      <c r="P24" s="150">
        <v>2.0833333333333332E-2</v>
      </c>
      <c r="Q24" s="75">
        <f t="shared" si="4"/>
        <v>22</v>
      </c>
      <c r="T24" s="150"/>
      <c r="U24" s="75">
        <f t="shared" si="5"/>
        <v>22</v>
      </c>
      <c r="V24" s="54">
        <v>54.98</v>
      </c>
      <c r="W24" s="55">
        <v>130</v>
      </c>
      <c r="X24" s="150"/>
      <c r="Y24" s="75">
        <f t="shared" si="6"/>
        <v>22</v>
      </c>
      <c r="Z24" s="54">
        <v>16.190000000000001</v>
      </c>
      <c r="AA24" s="55">
        <v>317</v>
      </c>
      <c r="AB24" s="150"/>
      <c r="AC24" s="75">
        <f t="shared" si="7"/>
        <v>22</v>
      </c>
      <c r="AD24" s="54">
        <v>73.569999999999993</v>
      </c>
      <c r="AE24" s="55">
        <v>810</v>
      </c>
      <c r="AF24" s="150"/>
      <c r="AG24" s="75">
        <f t="shared" si="8"/>
        <v>22</v>
      </c>
      <c r="AH24" s="54">
        <v>21.33</v>
      </c>
      <c r="AI24" s="55">
        <v>471</v>
      </c>
      <c r="AJ24" s="150"/>
      <c r="AK24" s="75">
        <f t="shared" si="9"/>
        <v>22</v>
      </c>
      <c r="AL24" s="54"/>
      <c r="AM24" s="55"/>
      <c r="AN24" s="150"/>
      <c r="AO24" s="75">
        <f t="shared" si="10"/>
        <v>22</v>
      </c>
      <c r="AP24" s="54">
        <v>12.94</v>
      </c>
      <c r="AQ24" s="55">
        <v>40</v>
      </c>
      <c r="AR24" s="150"/>
      <c r="AS24" s="75">
        <f t="shared" si="11"/>
        <v>22</v>
      </c>
      <c r="AT24" s="54"/>
      <c r="AU24" s="55"/>
      <c r="AV24" s="150"/>
      <c r="AW24" s="67"/>
    </row>
    <row r="25" spans="1:49" s="49" customFormat="1" ht="11.25" x14ac:dyDescent="0.2">
      <c r="A25" s="73">
        <f t="shared" si="0"/>
        <v>23</v>
      </c>
      <c r="B25" s="54">
        <v>4.5999999999999996</v>
      </c>
      <c r="C25" s="55">
        <v>0</v>
      </c>
      <c r="D25" s="150"/>
      <c r="E25" s="75">
        <f t="shared" si="1"/>
        <v>23</v>
      </c>
      <c r="F25" s="54">
        <v>10</v>
      </c>
      <c r="G25" s="55">
        <v>18</v>
      </c>
      <c r="H25" s="150"/>
      <c r="I25" s="75">
        <f t="shared" si="2"/>
        <v>23</v>
      </c>
      <c r="J25" s="54"/>
      <c r="K25" s="55"/>
      <c r="L25" s="150">
        <v>4.1666666666666664E-2</v>
      </c>
      <c r="M25" s="75">
        <f t="shared" si="3"/>
        <v>23</v>
      </c>
      <c r="N25" s="54">
        <v>15.37</v>
      </c>
      <c r="O25" s="55">
        <v>50</v>
      </c>
      <c r="P25" s="150"/>
      <c r="Q25" s="75">
        <f t="shared" si="4"/>
        <v>23</v>
      </c>
      <c r="R25" s="54">
        <v>37.92</v>
      </c>
      <c r="S25" s="55">
        <v>1226</v>
      </c>
      <c r="T25" s="150"/>
      <c r="U25" s="75">
        <f t="shared" si="5"/>
        <v>23</v>
      </c>
      <c r="V25" s="54">
        <v>47.03</v>
      </c>
      <c r="W25" s="55">
        <v>505</v>
      </c>
      <c r="X25" s="150"/>
      <c r="Y25" s="75">
        <f t="shared" si="6"/>
        <v>23</v>
      </c>
      <c r="Z25" s="54"/>
      <c r="AA25" s="55"/>
      <c r="AB25" s="150"/>
      <c r="AC25" s="75">
        <f t="shared" si="7"/>
        <v>23</v>
      </c>
      <c r="AD25" s="54">
        <v>25.2</v>
      </c>
      <c r="AE25" s="55">
        <v>115</v>
      </c>
      <c r="AF25" s="150"/>
      <c r="AG25" s="75">
        <f t="shared" si="8"/>
        <v>23</v>
      </c>
      <c r="AH25" s="54">
        <v>21.55</v>
      </c>
      <c r="AI25" s="55">
        <v>620</v>
      </c>
      <c r="AJ25" s="150"/>
      <c r="AK25" s="75">
        <f t="shared" si="9"/>
        <v>23</v>
      </c>
      <c r="AL25" s="54">
        <v>27.19</v>
      </c>
      <c r="AM25" s="55">
        <v>30</v>
      </c>
      <c r="AN25" s="150"/>
      <c r="AO25" s="75">
        <f t="shared" si="10"/>
        <v>23</v>
      </c>
      <c r="AP25" s="54"/>
      <c r="AQ25" s="55"/>
      <c r="AR25" s="150"/>
      <c r="AS25" s="75">
        <f t="shared" si="11"/>
        <v>23</v>
      </c>
      <c r="AT25" s="54">
        <v>17.02</v>
      </c>
      <c r="AU25" s="55">
        <v>6</v>
      </c>
      <c r="AV25" s="150"/>
      <c r="AW25" s="67"/>
    </row>
    <row r="26" spans="1:49" s="49" customFormat="1" ht="11.25" x14ac:dyDescent="0.2">
      <c r="A26" s="73">
        <f t="shared" si="0"/>
        <v>24</v>
      </c>
      <c r="B26" s="54">
        <v>33.26</v>
      </c>
      <c r="C26" s="55">
        <v>58</v>
      </c>
      <c r="D26" s="150">
        <v>2.0833333333333332E-2</v>
      </c>
      <c r="E26" s="75">
        <f t="shared" si="1"/>
        <v>24</v>
      </c>
      <c r="F26" s="54">
        <v>21.49</v>
      </c>
      <c r="G26" s="55">
        <v>150</v>
      </c>
      <c r="H26" s="150"/>
      <c r="I26" s="75">
        <f t="shared" si="2"/>
        <v>24</v>
      </c>
      <c r="J26" s="54"/>
      <c r="K26" s="55"/>
      <c r="L26" s="150"/>
      <c r="M26" s="75">
        <f t="shared" si="3"/>
        <v>24</v>
      </c>
      <c r="N26" s="54">
        <v>24.91</v>
      </c>
      <c r="O26" s="55">
        <v>212</v>
      </c>
      <c r="P26" s="150"/>
      <c r="Q26" s="75">
        <f t="shared" si="4"/>
        <v>24</v>
      </c>
      <c r="R26" s="54">
        <v>88.12</v>
      </c>
      <c r="S26" s="55">
        <v>893</v>
      </c>
      <c r="T26" s="150"/>
      <c r="U26" s="75">
        <f t="shared" si="5"/>
        <v>24</v>
      </c>
      <c r="V26" s="54">
        <v>58.15</v>
      </c>
      <c r="W26" s="55">
        <v>1033</v>
      </c>
      <c r="X26" s="150"/>
      <c r="Y26" s="75">
        <f t="shared" si="6"/>
        <v>24</v>
      </c>
      <c r="Z26" s="54">
        <v>15.49</v>
      </c>
      <c r="AA26" s="55">
        <v>30</v>
      </c>
      <c r="AB26" s="150"/>
      <c r="AC26" s="75">
        <f t="shared" si="7"/>
        <v>24</v>
      </c>
      <c r="AD26" s="54">
        <v>28.72</v>
      </c>
      <c r="AE26" s="55">
        <v>463</v>
      </c>
      <c r="AF26" s="150"/>
      <c r="AG26" s="75">
        <f t="shared" si="8"/>
        <v>24</v>
      </c>
      <c r="AH26" s="54"/>
      <c r="AI26" s="55"/>
      <c r="AJ26" s="150"/>
      <c r="AK26" s="75">
        <f t="shared" si="9"/>
        <v>24</v>
      </c>
      <c r="AL26" s="54">
        <v>30.38</v>
      </c>
      <c r="AM26" s="55">
        <v>40</v>
      </c>
      <c r="AN26" s="150"/>
      <c r="AO26" s="75">
        <f t="shared" si="10"/>
        <v>24</v>
      </c>
      <c r="AP26" s="54"/>
      <c r="AQ26" s="55"/>
      <c r="AR26" s="150"/>
      <c r="AS26" s="75">
        <f t="shared" si="11"/>
        <v>24</v>
      </c>
      <c r="AT26" s="54"/>
      <c r="AU26" s="55"/>
      <c r="AV26" s="150"/>
      <c r="AW26" s="67"/>
    </row>
    <row r="27" spans="1:49" s="49" customFormat="1" ht="11.25" x14ac:dyDescent="0.2">
      <c r="A27" s="73">
        <f t="shared" si="0"/>
        <v>25</v>
      </c>
      <c r="B27" s="54">
        <v>37.08</v>
      </c>
      <c r="C27" s="55">
        <v>411</v>
      </c>
      <c r="D27" s="150"/>
      <c r="E27" s="75">
        <f t="shared" si="1"/>
        <v>25</v>
      </c>
      <c r="F27" s="54">
        <v>15</v>
      </c>
      <c r="G27" s="55">
        <v>330</v>
      </c>
      <c r="H27" s="150"/>
      <c r="I27" s="75">
        <f t="shared" si="2"/>
        <v>25</v>
      </c>
      <c r="J27" s="54"/>
      <c r="K27" s="55"/>
      <c r="L27" s="150"/>
      <c r="M27" s="75">
        <f t="shared" si="3"/>
        <v>25</v>
      </c>
      <c r="N27" s="54">
        <v>47.77</v>
      </c>
      <c r="O27" s="55">
        <v>760</v>
      </c>
      <c r="P27" s="150"/>
      <c r="Q27" s="75">
        <f t="shared" si="4"/>
        <v>25</v>
      </c>
      <c r="R27" s="54"/>
      <c r="S27" s="55"/>
      <c r="T27" s="150"/>
      <c r="U27" s="75">
        <f t="shared" si="5"/>
        <v>25</v>
      </c>
      <c r="V27" s="54">
        <v>55.66</v>
      </c>
      <c r="W27" s="55">
        <v>810</v>
      </c>
      <c r="X27" s="150"/>
      <c r="Y27" s="75">
        <f t="shared" si="6"/>
        <v>25</v>
      </c>
      <c r="Z27" s="54"/>
      <c r="AA27" s="55"/>
      <c r="AB27" s="150"/>
      <c r="AC27" s="75">
        <f t="shared" si="7"/>
        <v>25</v>
      </c>
      <c r="AD27" s="54">
        <v>22.45</v>
      </c>
      <c r="AE27" s="55">
        <v>385</v>
      </c>
      <c r="AF27" s="150"/>
      <c r="AG27" s="75">
        <f t="shared" si="8"/>
        <v>25</v>
      </c>
      <c r="AH27" s="54">
        <v>24.06</v>
      </c>
      <c r="AI27" s="55">
        <v>25</v>
      </c>
      <c r="AJ27" s="150"/>
      <c r="AK27" s="75">
        <f t="shared" si="9"/>
        <v>25</v>
      </c>
      <c r="AL27" s="54">
        <v>12.03</v>
      </c>
      <c r="AM27" s="55">
        <v>10</v>
      </c>
      <c r="AN27" s="150"/>
      <c r="AO27" s="75">
        <f t="shared" si="10"/>
        <v>25</v>
      </c>
      <c r="AP27" s="54">
        <v>10.96</v>
      </c>
      <c r="AQ27" s="55">
        <v>313</v>
      </c>
      <c r="AR27" s="150"/>
      <c r="AS27" s="75">
        <f t="shared" si="11"/>
        <v>25</v>
      </c>
      <c r="AT27" s="54">
        <v>17.55</v>
      </c>
      <c r="AU27" s="55">
        <v>70</v>
      </c>
      <c r="AV27" s="150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50"/>
      <c r="E28" s="75">
        <f t="shared" si="1"/>
        <v>26</v>
      </c>
      <c r="F28" s="54">
        <v>6.45</v>
      </c>
      <c r="G28" s="55">
        <v>0</v>
      </c>
      <c r="H28" s="150"/>
      <c r="I28" s="75">
        <f t="shared" si="2"/>
        <v>26</v>
      </c>
      <c r="J28" s="54"/>
      <c r="K28" s="55"/>
      <c r="L28" s="150"/>
      <c r="M28" s="75">
        <f t="shared" si="3"/>
        <v>26</v>
      </c>
      <c r="N28" s="54"/>
      <c r="O28" s="55"/>
      <c r="P28" s="150"/>
      <c r="Q28" s="75">
        <f t="shared" si="4"/>
        <v>26</v>
      </c>
      <c r="R28" s="54"/>
      <c r="S28" s="55"/>
      <c r="T28" s="150"/>
      <c r="U28" s="75">
        <f t="shared" si="5"/>
        <v>26</v>
      </c>
      <c r="V28" s="54">
        <v>29.21</v>
      </c>
      <c r="W28" s="55">
        <v>190</v>
      </c>
      <c r="X28" s="150"/>
      <c r="Y28" s="75">
        <f t="shared" si="6"/>
        <v>26</v>
      </c>
      <c r="Z28" s="54">
        <v>54</v>
      </c>
      <c r="AA28" s="55">
        <v>590</v>
      </c>
      <c r="AB28" s="150"/>
      <c r="AC28" s="75">
        <f t="shared" si="7"/>
        <v>26</v>
      </c>
      <c r="AD28" s="54"/>
      <c r="AE28" s="55"/>
      <c r="AF28" s="150"/>
      <c r="AG28" s="75">
        <f t="shared" si="8"/>
        <v>26</v>
      </c>
      <c r="AH28" s="54">
        <v>64.67</v>
      </c>
      <c r="AI28" s="55">
        <v>1860</v>
      </c>
      <c r="AJ28" s="150"/>
      <c r="AK28" s="75">
        <f t="shared" si="9"/>
        <v>26</v>
      </c>
      <c r="AL28" s="54">
        <v>40.04</v>
      </c>
      <c r="AM28" s="55">
        <v>233</v>
      </c>
      <c r="AN28" s="150"/>
      <c r="AO28" s="75">
        <f t="shared" si="10"/>
        <v>26</v>
      </c>
      <c r="AP28" s="54">
        <v>9.82</v>
      </c>
      <c r="AQ28" s="55">
        <v>0</v>
      </c>
      <c r="AR28" s="150"/>
      <c r="AS28" s="75">
        <f t="shared" si="11"/>
        <v>26</v>
      </c>
      <c r="AT28" s="54">
        <v>54.41</v>
      </c>
      <c r="AU28" s="55">
        <v>545</v>
      </c>
      <c r="AV28" s="150"/>
      <c r="AW28" s="67"/>
    </row>
    <row r="29" spans="1:49" s="49" customFormat="1" ht="11.25" x14ac:dyDescent="0.2">
      <c r="A29" s="73">
        <f t="shared" si="0"/>
        <v>27</v>
      </c>
      <c r="B29" s="54">
        <v>10.71</v>
      </c>
      <c r="C29" s="55">
        <v>25</v>
      </c>
      <c r="D29" s="150"/>
      <c r="E29" s="75">
        <f t="shared" si="1"/>
        <v>27</v>
      </c>
      <c r="F29" s="54">
        <v>5.09</v>
      </c>
      <c r="G29" s="55">
        <v>0</v>
      </c>
      <c r="H29" s="150"/>
      <c r="I29" s="75">
        <f t="shared" si="2"/>
        <v>27</v>
      </c>
      <c r="J29" s="54">
        <v>13.72</v>
      </c>
      <c r="K29" s="55">
        <v>5</v>
      </c>
      <c r="L29" s="150"/>
      <c r="M29" s="75">
        <f t="shared" si="3"/>
        <v>27</v>
      </c>
      <c r="N29" s="54">
        <v>35.57</v>
      </c>
      <c r="O29" s="55">
        <v>20</v>
      </c>
      <c r="P29" s="150"/>
      <c r="Q29" s="75">
        <f t="shared" si="4"/>
        <v>27</v>
      </c>
      <c r="R29" s="54">
        <v>40.14</v>
      </c>
      <c r="S29" s="55">
        <v>31</v>
      </c>
      <c r="T29" s="150"/>
      <c r="U29" s="75">
        <f t="shared" si="5"/>
        <v>27</v>
      </c>
      <c r="V29" s="54"/>
      <c r="W29" s="55"/>
      <c r="X29" s="150"/>
      <c r="Y29" s="75">
        <f t="shared" si="6"/>
        <v>27</v>
      </c>
      <c r="Z29" s="54">
        <v>15.21</v>
      </c>
      <c r="AA29" s="55">
        <v>10</v>
      </c>
      <c r="AB29" s="150"/>
      <c r="AC29" s="75">
        <f t="shared" si="7"/>
        <v>27</v>
      </c>
      <c r="AD29" s="54">
        <v>16.12</v>
      </c>
      <c r="AE29" s="55">
        <v>43</v>
      </c>
      <c r="AF29" s="150"/>
      <c r="AG29" s="75">
        <f t="shared" si="8"/>
        <v>27</v>
      </c>
      <c r="AH29" s="54">
        <v>34.4</v>
      </c>
      <c r="AI29" s="55">
        <v>165</v>
      </c>
      <c r="AJ29" s="150"/>
      <c r="AK29" s="75">
        <f t="shared" si="9"/>
        <v>27</v>
      </c>
      <c r="AL29" s="54"/>
      <c r="AM29" s="55"/>
      <c r="AN29" s="150"/>
      <c r="AO29" s="75">
        <f t="shared" si="10"/>
        <v>27</v>
      </c>
      <c r="AP29" s="54"/>
      <c r="AQ29" s="55"/>
      <c r="AR29" s="150"/>
      <c r="AS29" s="75">
        <f t="shared" si="11"/>
        <v>27</v>
      </c>
      <c r="AT29" s="54"/>
      <c r="AU29" s="55"/>
      <c r="AV29" s="150"/>
      <c r="AW29" s="67"/>
    </row>
    <row r="30" spans="1:49" s="49" customFormat="1" ht="11.25" x14ac:dyDescent="0.2">
      <c r="A30" s="73">
        <f t="shared" si="0"/>
        <v>28</v>
      </c>
      <c r="B30" s="54">
        <v>4.5999999999999996</v>
      </c>
      <c r="C30" s="55">
        <v>0</v>
      </c>
      <c r="D30" s="150"/>
      <c r="E30" s="75">
        <f t="shared" si="1"/>
        <v>28</v>
      </c>
      <c r="F30" s="54">
        <v>33.39</v>
      </c>
      <c r="G30" s="55">
        <v>435</v>
      </c>
      <c r="H30" s="150"/>
      <c r="I30" s="75">
        <f t="shared" si="2"/>
        <v>28</v>
      </c>
      <c r="J30" s="54"/>
      <c r="K30" s="55"/>
      <c r="L30" s="150"/>
      <c r="M30" s="75">
        <f t="shared" si="3"/>
        <v>28</v>
      </c>
      <c r="N30" s="54"/>
      <c r="O30" s="55"/>
      <c r="P30" s="150"/>
      <c r="Q30" s="75">
        <f t="shared" si="4"/>
        <v>28</v>
      </c>
      <c r="R30" s="54"/>
      <c r="S30" s="55"/>
      <c r="T30" s="150"/>
      <c r="U30" s="75">
        <f t="shared" si="5"/>
        <v>28</v>
      </c>
      <c r="V30" s="54"/>
      <c r="W30" s="55"/>
      <c r="X30" s="150"/>
      <c r="Y30" s="75">
        <f t="shared" si="6"/>
        <v>28</v>
      </c>
      <c r="Z30" s="54">
        <v>19.850000000000001</v>
      </c>
      <c r="AA30" s="55">
        <v>35</v>
      </c>
      <c r="AB30" s="150"/>
      <c r="AC30" s="75">
        <f t="shared" si="7"/>
        <v>28</v>
      </c>
      <c r="AD30" s="54">
        <v>20.309999999999999</v>
      </c>
      <c r="AE30" s="55">
        <v>65</v>
      </c>
      <c r="AF30" s="150"/>
      <c r="AG30" s="75">
        <f t="shared" si="8"/>
        <v>28</v>
      </c>
      <c r="AH30" s="54">
        <v>18.25</v>
      </c>
      <c r="AI30" s="55">
        <v>75</v>
      </c>
      <c r="AJ30" s="150"/>
      <c r="AK30" s="75">
        <f t="shared" si="9"/>
        <v>28</v>
      </c>
      <c r="AL30" s="54">
        <v>25.64</v>
      </c>
      <c r="AM30" s="55">
        <v>30</v>
      </c>
      <c r="AN30" s="150"/>
      <c r="AO30" s="75">
        <f t="shared" si="10"/>
        <v>28</v>
      </c>
      <c r="AP30" s="54">
        <v>29.69</v>
      </c>
      <c r="AQ30" s="55">
        <v>647</v>
      </c>
      <c r="AR30" s="150"/>
      <c r="AS30" s="75">
        <f t="shared" si="11"/>
        <v>28</v>
      </c>
      <c r="AT30" s="54">
        <v>18.68</v>
      </c>
      <c r="AU30" s="55">
        <v>15</v>
      </c>
      <c r="AV30" s="150"/>
      <c r="AW30" s="67"/>
    </row>
    <row r="31" spans="1:49" s="49" customFormat="1" ht="11.25" x14ac:dyDescent="0.2">
      <c r="A31" s="73">
        <f t="shared" si="0"/>
        <v>29</v>
      </c>
      <c r="B31" s="54"/>
      <c r="C31" s="55"/>
      <c r="D31" s="150"/>
      <c r="E31" s="75"/>
      <c r="F31" s="54"/>
      <c r="G31" s="55"/>
      <c r="H31" s="150"/>
      <c r="I31" s="75">
        <f t="shared" si="2"/>
        <v>29</v>
      </c>
      <c r="J31" s="54">
        <v>45.31</v>
      </c>
      <c r="K31" s="55">
        <v>632</v>
      </c>
      <c r="L31" s="150"/>
      <c r="M31" s="75">
        <f t="shared" si="3"/>
        <v>29</v>
      </c>
      <c r="N31" s="54"/>
      <c r="O31" s="55"/>
      <c r="P31" s="150"/>
      <c r="Q31" s="75">
        <f t="shared" si="4"/>
        <v>29</v>
      </c>
      <c r="R31" s="54"/>
      <c r="S31" s="55"/>
      <c r="T31" s="150"/>
      <c r="U31" s="75">
        <f t="shared" si="5"/>
        <v>29</v>
      </c>
      <c r="V31" s="54"/>
      <c r="W31" s="55"/>
      <c r="X31" s="150"/>
      <c r="Y31" s="75">
        <f t="shared" si="6"/>
        <v>29</v>
      </c>
      <c r="Z31" s="54">
        <v>20.28</v>
      </c>
      <c r="AA31" s="55">
        <v>10</v>
      </c>
      <c r="AB31" s="150"/>
      <c r="AC31" s="75">
        <f t="shared" si="7"/>
        <v>29</v>
      </c>
      <c r="AD31" s="54">
        <v>95.27</v>
      </c>
      <c r="AE31" s="55">
        <v>1035</v>
      </c>
      <c r="AF31" s="150"/>
      <c r="AG31" s="75">
        <f t="shared" si="8"/>
        <v>29</v>
      </c>
      <c r="AH31" s="54"/>
      <c r="AI31" s="55"/>
      <c r="AJ31" s="150"/>
      <c r="AK31" s="75">
        <f t="shared" si="9"/>
        <v>29</v>
      </c>
      <c r="AL31" s="54"/>
      <c r="AM31" s="55"/>
      <c r="AN31" s="150"/>
      <c r="AO31" s="75">
        <f t="shared" si="10"/>
        <v>29</v>
      </c>
      <c r="AP31" s="54"/>
      <c r="AQ31" s="55"/>
      <c r="AR31" s="150"/>
      <c r="AS31" s="75">
        <f t="shared" si="11"/>
        <v>29</v>
      </c>
      <c r="AT31" s="54"/>
      <c r="AU31" s="55"/>
      <c r="AV31" s="150"/>
      <c r="AW31" s="67"/>
    </row>
    <row r="32" spans="1:49" s="49" customFormat="1" ht="11.25" x14ac:dyDescent="0.2">
      <c r="A32" s="73">
        <f t="shared" si="0"/>
        <v>30</v>
      </c>
      <c r="B32" s="54">
        <v>14.24</v>
      </c>
      <c r="C32" s="55">
        <v>90</v>
      </c>
      <c r="D32" s="150"/>
      <c r="E32" s="75"/>
      <c r="F32" s="54"/>
      <c r="G32" s="55"/>
      <c r="H32" s="150"/>
      <c r="I32" s="75">
        <f t="shared" si="2"/>
        <v>30</v>
      </c>
      <c r="J32" s="54"/>
      <c r="K32" s="55"/>
      <c r="L32" s="150"/>
      <c r="M32" s="75">
        <f t="shared" si="3"/>
        <v>30</v>
      </c>
      <c r="N32" s="54">
        <v>21.43</v>
      </c>
      <c r="O32" s="55">
        <v>10</v>
      </c>
      <c r="P32" s="150"/>
      <c r="Q32" s="75">
        <f t="shared" si="4"/>
        <v>30</v>
      </c>
      <c r="R32" s="54"/>
      <c r="S32" s="55"/>
      <c r="T32" s="150"/>
      <c r="U32" s="75">
        <f t="shared" si="5"/>
        <v>30</v>
      </c>
      <c r="V32" s="54">
        <v>39.33</v>
      </c>
      <c r="W32" s="55">
        <v>25</v>
      </c>
      <c r="X32" s="150"/>
      <c r="Y32" s="75">
        <f t="shared" si="6"/>
        <v>30</v>
      </c>
      <c r="Z32" s="54">
        <v>50.25</v>
      </c>
      <c r="AA32" s="55">
        <v>45</v>
      </c>
      <c r="AB32" s="150"/>
      <c r="AC32" s="75">
        <f t="shared" si="7"/>
        <v>30</v>
      </c>
      <c r="AD32" s="54">
        <v>38.46</v>
      </c>
      <c r="AE32" s="55">
        <v>383</v>
      </c>
      <c r="AF32" s="150"/>
      <c r="AG32" s="75">
        <f t="shared" si="8"/>
        <v>30</v>
      </c>
      <c r="AH32" s="54"/>
      <c r="AI32" s="55"/>
      <c r="AJ32" s="150"/>
      <c r="AK32" s="75">
        <f t="shared" si="9"/>
        <v>30</v>
      </c>
      <c r="AL32" s="54">
        <v>31</v>
      </c>
      <c r="AM32" s="55">
        <v>1100</v>
      </c>
      <c r="AN32" s="150"/>
      <c r="AO32" s="75">
        <f t="shared" si="10"/>
        <v>30</v>
      </c>
      <c r="AP32" s="54"/>
      <c r="AQ32" s="55"/>
      <c r="AR32" s="150"/>
      <c r="AS32" s="75">
        <f t="shared" si="11"/>
        <v>30</v>
      </c>
      <c r="AT32" s="54"/>
      <c r="AU32" s="55"/>
      <c r="AV32" s="150"/>
      <c r="AW32" s="67"/>
    </row>
    <row r="33" spans="1:49" s="49" customFormat="1" ht="11.25" x14ac:dyDescent="0.2">
      <c r="A33" s="74">
        <f t="shared" si="0"/>
        <v>31</v>
      </c>
      <c r="B33" s="62">
        <v>17.55</v>
      </c>
      <c r="C33" s="63">
        <v>314</v>
      </c>
      <c r="D33" s="151">
        <v>4.1666666666666664E-2</v>
      </c>
      <c r="E33" s="76"/>
      <c r="F33" s="62"/>
      <c r="G33" s="63"/>
      <c r="H33" s="151"/>
      <c r="I33" s="76">
        <f t="shared" si="2"/>
        <v>31</v>
      </c>
      <c r="J33" s="62">
        <v>27.35</v>
      </c>
      <c r="K33" s="63">
        <v>463</v>
      </c>
      <c r="L33" s="151"/>
      <c r="M33" s="76"/>
      <c r="N33" s="62"/>
      <c r="O33" s="63"/>
      <c r="P33" s="151"/>
      <c r="Q33" s="76">
        <f t="shared" si="4"/>
        <v>31</v>
      </c>
      <c r="R33" s="62"/>
      <c r="S33" s="63"/>
      <c r="T33" s="151"/>
      <c r="U33" s="76"/>
      <c r="V33" s="62"/>
      <c r="W33" s="63"/>
      <c r="X33" s="151"/>
      <c r="Y33" s="76">
        <f t="shared" si="6"/>
        <v>31</v>
      </c>
      <c r="Z33" s="62">
        <v>19.510000000000002</v>
      </c>
      <c r="AA33" s="63">
        <v>185</v>
      </c>
      <c r="AB33" s="151"/>
      <c r="AC33" s="76">
        <f t="shared" si="7"/>
        <v>31</v>
      </c>
      <c r="AD33" s="62">
        <v>17.739999999999998</v>
      </c>
      <c r="AE33" s="63">
        <v>91</v>
      </c>
      <c r="AF33" s="151"/>
      <c r="AG33" s="76"/>
      <c r="AH33" s="62"/>
      <c r="AI33" s="63"/>
      <c r="AJ33" s="151"/>
      <c r="AK33" s="76">
        <f t="shared" si="9"/>
        <v>31</v>
      </c>
      <c r="AL33" s="62">
        <v>43.4</v>
      </c>
      <c r="AM33" s="63">
        <v>1123</v>
      </c>
      <c r="AN33" s="151"/>
      <c r="AO33" s="76"/>
      <c r="AP33" s="62"/>
      <c r="AQ33" s="63"/>
      <c r="AR33" s="151"/>
      <c r="AS33" s="76">
        <f t="shared" si="11"/>
        <v>31</v>
      </c>
      <c r="AT33" s="62">
        <v>20.21</v>
      </c>
      <c r="AU33" s="63">
        <v>78</v>
      </c>
      <c r="AV33" s="151"/>
      <c r="AW33" s="67"/>
    </row>
    <row r="34" spans="1:49" s="49" customFormat="1" ht="11.25" x14ac:dyDescent="0.2">
      <c r="A34" s="45" t="s">
        <v>92</v>
      </c>
      <c r="B34" s="47">
        <f>SUM(B3:B33)</f>
        <v>300.04000000000002</v>
      </c>
      <c r="C34" s="48">
        <f>SUM(C3:C33)</f>
        <v>1875</v>
      </c>
      <c r="D34" s="79">
        <f>(SUM(D3:D33)/D39)*C39</f>
        <v>228</v>
      </c>
      <c r="E34" s="65"/>
      <c r="F34" s="47">
        <f>SUM(F3:F33)</f>
        <v>268.27000000000004</v>
      </c>
      <c r="G34" s="48">
        <f>SUM(G3:G33)</f>
        <v>2953</v>
      </c>
      <c r="H34" s="79">
        <f>(SUM(H3:H33)/D39)*C39</f>
        <v>156</v>
      </c>
      <c r="I34" s="65"/>
      <c r="J34" s="47">
        <f>SUM(J3:J33)</f>
        <v>538.64</v>
      </c>
      <c r="K34" s="48">
        <f>SUM(K3:K33)</f>
        <v>4793</v>
      </c>
      <c r="L34" s="79">
        <f>(SUM(L3:L33)/D39)*C39</f>
        <v>117.99999999999999</v>
      </c>
      <c r="M34" s="77"/>
      <c r="N34" s="47">
        <f>SUM(N3:N33)</f>
        <v>730.02</v>
      </c>
      <c r="O34" s="48">
        <f>SUM(O3:O33)</f>
        <v>7379</v>
      </c>
      <c r="P34" s="79">
        <f>(SUM(P3:P33)/D39)*C39</f>
        <v>12</v>
      </c>
      <c r="Q34" s="65"/>
      <c r="R34" s="47">
        <f>SUM(R3:R33)</f>
        <v>808.53999999999985</v>
      </c>
      <c r="S34" s="48">
        <f>SUM(S3:S33)</f>
        <v>8011</v>
      </c>
      <c r="T34" s="79">
        <f>(SUM(T3:T33)/D39)*C39</f>
        <v>0</v>
      </c>
      <c r="U34" s="65"/>
      <c r="V34" s="47">
        <f>SUM(V3:V33)</f>
        <v>875.8599999999999</v>
      </c>
      <c r="W34" s="48">
        <f>SUM(W3:W33)</f>
        <v>8133</v>
      </c>
      <c r="X34" s="79">
        <f>(SUM(X3:X33)/D39)*C39</f>
        <v>0</v>
      </c>
      <c r="Y34" s="65"/>
      <c r="Z34" s="47">
        <f>SUM(Z3:Z33)</f>
        <v>844.50000000000011</v>
      </c>
      <c r="AA34" s="48">
        <f>SUM(AA3:AA33)</f>
        <v>7887</v>
      </c>
      <c r="AB34" s="79">
        <f>(SUM(AB3:AB33)/D39)*C39</f>
        <v>24</v>
      </c>
      <c r="AC34" s="65"/>
      <c r="AD34" s="47">
        <f>SUM(AD3:AD33)</f>
        <v>803.25000000000011</v>
      </c>
      <c r="AE34" s="48">
        <f>SUM(AE3:AE33)</f>
        <v>9324</v>
      </c>
      <c r="AF34" s="79">
        <f>(SUM(AF3:AF33)/D39)*C39</f>
        <v>0</v>
      </c>
      <c r="AG34" s="65"/>
      <c r="AH34" s="47">
        <f>SUM(AH3:AH33)</f>
        <v>527.17000000000007</v>
      </c>
      <c r="AI34" s="48">
        <f>SUM(AI3:AI33)</f>
        <v>8114</v>
      </c>
      <c r="AJ34" s="79">
        <f>(SUM(AJ3:AJ33)/D39)*C39</f>
        <v>0</v>
      </c>
      <c r="AK34" s="65"/>
      <c r="AL34" s="47">
        <f>SUM(AL3:AL33)</f>
        <v>482.71</v>
      </c>
      <c r="AM34" s="48">
        <f>SUM(AM3:AM33)</f>
        <v>3316</v>
      </c>
      <c r="AN34" s="79">
        <f>(SUM(AN3:AN33)/D39)*C39</f>
        <v>48</v>
      </c>
      <c r="AO34" s="65"/>
      <c r="AP34" s="47">
        <f>SUM(AP3:AP33)</f>
        <v>268.74</v>
      </c>
      <c r="AQ34" s="48">
        <f>SUM(AQ3:AQ33)</f>
        <v>4455</v>
      </c>
      <c r="AR34" s="79">
        <f>(SUM(AR3:AR33)/D39)*C39</f>
        <v>0</v>
      </c>
      <c r="AS34" s="65"/>
      <c r="AT34" s="47">
        <f>SUM(AT3:AT33)</f>
        <v>300.59000000000003</v>
      </c>
      <c r="AU34" s="48">
        <f>SUM(AU3:AU33)</f>
        <v>1216</v>
      </c>
      <c r="AV34" s="79">
        <f>(SUM(AV3:AV33)/D39)*C39</f>
        <v>24</v>
      </c>
      <c r="AW34" s="67"/>
    </row>
    <row r="35" spans="1:49" s="52" customFormat="1" ht="11.25" x14ac:dyDescent="0.2">
      <c r="A35" s="46" t="s">
        <v>93</v>
      </c>
      <c r="B35" s="50">
        <f>B34</f>
        <v>300.04000000000002</v>
      </c>
      <c r="C35" s="51">
        <f>C34</f>
        <v>1875</v>
      </c>
      <c r="D35" s="80">
        <f>D34</f>
        <v>228</v>
      </c>
      <c r="E35" s="66"/>
      <c r="F35" s="50">
        <f>F34+B35</f>
        <v>568.31000000000006</v>
      </c>
      <c r="G35" s="51">
        <f>G34+C35</f>
        <v>4828</v>
      </c>
      <c r="H35" s="80">
        <f>H34+D35</f>
        <v>384</v>
      </c>
      <c r="I35" s="66"/>
      <c r="J35" s="50">
        <f>J34+F35</f>
        <v>1106.95</v>
      </c>
      <c r="K35" s="51">
        <f>K34+G35</f>
        <v>9621</v>
      </c>
      <c r="L35" s="80">
        <f>L34+H35</f>
        <v>502</v>
      </c>
      <c r="M35" s="66"/>
      <c r="N35" s="50">
        <f>N34+J35</f>
        <v>1836.97</v>
      </c>
      <c r="O35" s="51">
        <f>O34+K35</f>
        <v>17000</v>
      </c>
      <c r="P35" s="80">
        <f>P34+L35</f>
        <v>514</v>
      </c>
      <c r="Q35" s="66"/>
      <c r="R35" s="50">
        <f>R34+N35</f>
        <v>2645.5099999999998</v>
      </c>
      <c r="S35" s="51">
        <f>S34+O35</f>
        <v>25011</v>
      </c>
      <c r="T35" s="80">
        <f>T34+P35</f>
        <v>514</v>
      </c>
      <c r="U35" s="66"/>
      <c r="V35" s="50">
        <f>V34+R35</f>
        <v>3521.37</v>
      </c>
      <c r="W35" s="51">
        <f>W34+S35</f>
        <v>33144</v>
      </c>
      <c r="X35" s="80">
        <f>X34+T35</f>
        <v>514</v>
      </c>
      <c r="Y35" s="66"/>
      <c r="Z35" s="50">
        <f>Z34+V35</f>
        <v>4365.87</v>
      </c>
      <c r="AA35" s="51">
        <f>AA34+W35</f>
        <v>41031</v>
      </c>
      <c r="AB35" s="80">
        <f>AB34+X35</f>
        <v>538</v>
      </c>
      <c r="AC35" s="66"/>
      <c r="AD35" s="50">
        <f>AD34+Z35</f>
        <v>5169.12</v>
      </c>
      <c r="AE35" s="51">
        <f>AE34+AA35</f>
        <v>50355</v>
      </c>
      <c r="AF35" s="80">
        <f>AF34+AB35</f>
        <v>538</v>
      </c>
      <c r="AG35" s="66"/>
      <c r="AH35" s="50">
        <f>AH34+AD35</f>
        <v>5696.29</v>
      </c>
      <c r="AI35" s="51">
        <f>AI34+AE35</f>
        <v>58469</v>
      </c>
      <c r="AJ35" s="80">
        <f>AJ34+AF35</f>
        <v>538</v>
      </c>
      <c r="AK35" s="66"/>
      <c r="AL35" s="50">
        <f>AL34+AH35</f>
        <v>6179</v>
      </c>
      <c r="AM35" s="51">
        <f>AM34+AI35</f>
        <v>61785</v>
      </c>
      <c r="AN35" s="80">
        <f>AN34+AJ35</f>
        <v>586</v>
      </c>
      <c r="AO35" s="66"/>
      <c r="AP35" s="50">
        <f>AP34+AL35</f>
        <v>6447.74</v>
      </c>
      <c r="AQ35" s="51">
        <f>AQ34+AM35</f>
        <v>66240</v>
      </c>
      <c r="AR35" s="80">
        <f>AR34+AN35</f>
        <v>586</v>
      </c>
      <c r="AS35" s="66"/>
      <c r="AT35" s="50">
        <f>AT34+AP35</f>
        <v>6748.33</v>
      </c>
      <c r="AU35" s="51">
        <f>AU34+AQ35</f>
        <v>67456</v>
      </c>
      <c r="AV35" s="80">
        <f>AV34+AR35</f>
        <v>610</v>
      </c>
      <c r="AW35" s="92"/>
    </row>
    <row r="36" spans="1:49" s="49" customFormat="1" ht="11.25" x14ac:dyDescent="0.2">
      <c r="A36" s="49" t="s">
        <v>149</v>
      </c>
      <c r="B36" s="54">
        <f>MAX(B3:B33)</f>
        <v>48.34</v>
      </c>
      <c r="C36" s="55">
        <f>MAX(C3:C33)</f>
        <v>496</v>
      </c>
      <c r="D36" s="152">
        <f>MAX(D3:D33)</f>
        <v>0.125</v>
      </c>
      <c r="E36" s="67"/>
      <c r="F36" s="54">
        <f>MAX(F3:F33)</f>
        <v>33.39</v>
      </c>
      <c r="G36" s="55">
        <f>MAX(G3:G33)</f>
        <v>630</v>
      </c>
      <c r="H36" s="152">
        <f>MAX(H3:H33)</f>
        <v>5.2083333333333336E-2</v>
      </c>
      <c r="I36" s="67"/>
      <c r="J36" s="54">
        <f>MAX(J3:J33)</f>
        <v>89.7</v>
      </c>
      <c r="K36" s="55">
        <f>MAX(K3:K33)</f>
        <v>820</v>
      </c>
      <c r="L36" s="152">
        <f>MAX(L3:L33)</f>
        <v>4.8611111111111112E-2</v>
      </c>
      <c r="M36" s="67"/>
      <c r="N36" s="54">
        <f>MAX(N3:N33)</f>
        <v>71.540000000000006</v>
      </c>
      <c r="O36" s="55">
        <f>MAX(O3:O33)</f>
        <v>1006</v>
      </c>
      <c r="P36" s="152">
        <f>MAX(P3:P33)</f>
        <v>2.0833333333333332E-2</v>
      </c>
      <c r="Q36" s="67"/>
      <c r="R36" s="315">
        <f>MAX(R3:R33)</f>
        <v>131.44</v>
      </c>
      <c r="S36" s="55">
        <f>MAX(S3:S33)</f>
        <v>1226</v>
      </c>
      <c r="T36" s="152">
        <f>MAX(T3:T33)</f>
        <v>0</v>
      </c>
      <c r="U36" s="67"/>
      <c r="V36" s="54">
        <f>MAX(V3:V33)</f>
        <v>124</v>
      </c>
      <c r="W36" s="55">
        <f>MAX(W3:W33)</f>
        <v>1445</v>
      </c>
      <c r="X36" s="152">
        <f>MAX(X3:X33)</f>
        <v>0</v>
      </c>
      <c r="Y36" s="67"/>
      <c r="Z36" s="54">
        <f>MAX(Z3:Z33)</f>
        <v>115</v>
      </c>
      <c r="AA36" s="55">
        <f>MAX(AA3:AA33)</f>
        <v>1241</v>
      </c>
      <c r="AB36" s="152">
        <f>MAX(AB3:AB33)</f>
        <v>4.1666666666666664E-2</v>
      </c>
      <c r="AC36" s="67"/>
      <c r="AD36" s="54">
        <f>MAX(AD3:AD33)</f>
        <v>111.31</v>
      </c>
      <c r="AE36" s="55">
        <f>MAX(AE3:AE33)</f>
        <v>1450</v>
      </c>
      <c r="AF36" s="152">
        <f>MAX(AF3:AF33)</f>
        <v>0</v>
      </c>
      <c r="AG36" s="67"/>
      <c r="AH36" s="54">
        <f>MAX(AH3:AH33)</f>
        <v>64.67</v>
      </c>
      <c r="AI36" s="55">
        <f>MAX(AI3:AI33)</f>
        <v>1860</v>
      </c>
      <c r="AJ36" s="152">
        <f>MAX(AJ3:AJ33)</f>
        <v>0</v>
      </c>
      <c r="AK36" s="67"/>
      <c r="AL36" s="315">
        <f>MAX(AL3:AL33)</f>
        <v>100.03</v>
      </c>
      <c r="AM36" s="55">
        <f>MAX(AM3:AM33)</f>
        <v>1123</v>
      </c>
      <c r="AN36" s="152">
        <f>MAX(AN3:AN33)</f>
        <v>4.1666666666666664E-2</v>
      </c>
      <c r="AO36" s="67"/>
      <c r="AP36" s="54">
        <f>MAX(AP3:AP33)</f>
        <v>60.6</v>
      </c>
      <c r="AQ36" s="314">
        <f>MAX(AQ3:AQ33)</f>
        <v>1490</v>
      </c>
      <c r="AR36" s="152">
        <f>MAX(AR3:AR33)</f>
        <v>0</v>
      </c>
      <c r="AS36" s="67"/>
      <c r="AT36" s="54">
        <f>MAX(AT3:AT33)</f>
        <v>54.41</v>
      </c>
      <c r="AU36" s="55">
        <f>MAX(AU3:AU33)</f>
        <v>545</v>
      </c>
      <c r="AV36" s="152">
        <f>MAX(AV3:AV33)</f>
        <v>2.0833333333333332E-2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16.66888888888889</v>
      </c>
      <c r="C37" s="55">
        <f>IFERROR(AVERAGE(C3:C33),0)</f>
        <v>104.16666666666667</v>
      </c>
      <c r="D37" s="152">
        <f>IFERROR(AVERAGE(D3:D33),0)</f>
        <v>5.6547619047619048E-2</v>
      </c>
      <c r="E37" s="67"/>
      <c r="F37" s="54">
        <f>IFERROR(AVERAGE(F3:F33),0)</f>
        <v>15.78058823529412</v>
      </c>
      <c r="G37" s="55">
        <f>IFERROR(AVERAGE(G3:G33),0)</f>
        <v>173.70588235294119</v>
      </c>
      <c r="H37" s="152">
        <f>IFERROR(AVERAGE(H3:H33),0)</f>
        <v>3.8690476190476185E-2</v>
      </c>
      <c r="I37" s="67"/>
      <c r="J37" s="54">
        <f>IFERROR(AVERAGE(J3:J33),0)</f>
        <v>33.664999999999999</v>
      </c>
      <c r="K37" s="55">
        <f>IFERROR(AVERAGE(K3:K33),0)</f>
        <v>299.5625</v>
      </c>
      <c r="L37" s="152">
        <f>IFERROR(AVERAGE(L3:L33),0)</f>
        <v>4.0972222222222215E-2</v>
      </c>
      <c r="M37" s="67"/>
      <c r="N37" s="54">
        <f>IFERROR(AVERAGE(N3:N33),0)</f>
        <v>31.74</v>
      </c>
      <c r="O37" s="55">
        <f>IFERROR(AVERAGE(O3:O33),0)</f>
        <v>320.82608695652175</v>
      </c>
      <c r="P37" s="152">
        <f>IFERROR(AVERAGE(P3:P33),0)</f>
        <v>2.0833333333333332E-2</v>
      </c>
      <c r="Q37" s="67"/>
      <c r="R37" s="54">
        <f>IFERROR(AVERAGE(R3:R33),0)</f>
        <v>47.561176470588229</v>
      </c>
      <c r="S37" s="55">
        <f>IFERROR(AVERAGE(S3:S33),0)</f>
        <v>471.23529411764707</v>
      </c>
      <c r="T37" s="152">
        <f>IFERROR(AVERAGE(T3:T33),0)</f>
        <v>0</v>
      </c>
      <c r="U37" s="67"/>
      <c r="V37" s="54">
        <f>IFERROR(AVERAGE(V3:V33),0)</f>
        <v>39.811818181818175</v>
      </c>
      <c r="W37" s="55">
        <f>IFERROR(AVERAGE(W3:W33),0)</f>
        <v>369.68181818181819</v>
      </c>
      <c r="X37" s="152">
        <f>IFERROR(AVERAGE(X3:X33),0)</f>
        <v>0</v>
      </c>
      <c r="Y37" s="67"/>
      <c r="Z37" s="54">
        <f>IFERROR(AVERAGE(Z3:Z33),0)</f>
        <v>33.78</v>
      </c>
      <c r="AA37" s="55">
        <f>IFERROR(AVERAGE(AA3:AA33),0)</f>
        <v>315.48</v>
      </c>
      <c r="AB37" s="152">
        <f>IFERROR(AVERAGE(AB3:AB33),0)</f>
        <v>4.1666666666666664E-2</v>
      </c>
      <c r="AC37" s="67"/>
      <c r="AD37" s="54">
        <f>IFERROR(AVERAGE(AD3:AD33),0)</f>
        <v>28.687500000000004</v>
      </c>
      <c r="AE37" s="55">
        <f>IFERROR(AVERAGE(AE3:AE33),0)</f>
        <v>333</v>
      </c>
      <c r="AF37" s="152">
        <f>IFERROR(AVERAGE(AF3:AF33),0)</f>
        <v>0</v>
      </c>
      <c r="AG37" s="67"/>
      <c r="AH37" s="54">
        <f>IFERROR(AVERAGE(AH3:AH33),0)</f>
        <v>27.745789473684216</v>
      </c>
      <c r="AI37" s="55">
        <f>IFERROR(AVERAGE(AI3:AI33),0)</f>
        <v>427.05263157894734</v>
      </c>
      <c r="AJ37" s="152">
        <f>IFERROR(AVERAGE(AJ3:AJ33),0)</f>
        <v>0</v>
      </c>
      <c r="AK37" s="67"/>
      <c r="AL37" s="54">
        <f>IFERROR(AVERAGE(AL3:AL33),0)</f>
        <v>30.169374999999999</v>
      </c>
      <c r="AM37" s="55">
        <f>IFERROR(AVERAGE(AM3:AM33),0)</f>
        <v>207.25</v>
      </c>
      <c r="AN37" s="152">
        <f>IFERROR(AVERAGE(AN3:AN33),0)</f>
        <v>4.1666666666666664E-2</v>
      </c>
      <c r="AO37" s="67"/>
      <c r="AP37" s="54">
        <f>IFERROR(AVERAGE(AP3:AP33),0)</f>
        <v>19.195714285714285</v>
      </c>
      <c r="AQ37" s="55">
        <f>IFERROR(AVERAGE(AQ3:AQ33),0)</f>
        <v>318.21428571428572</v>
      </c>
      <c r="AR37" s="152">
        <f>IFERROR(AVERAGE(AR3:AR33),0)</f>
        <v>0</v>
      </c>
      <c r="AS37" s="67"/>
      <c r="AT37" s="54">
        <f>IFERROR(AVERAGE(AT3:AT33),0)</f>
        <v>20.039333333333335</v>
      </c>
      <c r="AU37" s="55">
        <f>IFERROR(AVERAGE(AU3:AU33),0)</f>
        <v>81.066666666666663</v>
      </c>
      <c r="AV37" s="152">
        <f>IFERROR(AVERAGE(AV3:AV33),0)</f>
        <v>2.0833333333333332E-2</v>
      </c>
      <c r="AW37" s="67"/>
    </row>
    <row r="38" spans="1:49" s="49" customFormat="1" ht="11.25" x14ac:dyDescent="0.2">
      <c r="A38" s="49" t="s">
        <v>236</v>
      </c>
      <c r="B38" s="54">
        <f>B34-'08'!B34</f>
        <v>-154.13999999999993</v>
      </c>
      <c r="C38" s="78">
        <f>C34-'08'!C34</f>
        <v>-3466</v>
      </c>
      <c r="D38" s="105">
        <f>IF(B34+D34=0,0,D34/(B34+D34))</f>
        <v>0.43178547079766688</v>
      </c>
      <c r="E38" s="67"/>
      <c r="F38" s="54">
        <f>F34-'08'!E34</f>
        <v>-157.31999999999994</v>
      </c>
      <c r="G38" s="78">
        <f>G34-'08'!F34</f>
        <v>2236</v>
      </c>
      <c r="H38" s="105">
        <f>IF(F34+H34=0,0,H34/(F34+H34))</f>
        <v>0.36769038583920616</v>
      </c>
      <c r="I38" s="67"/>
      <c r="J38" s="54">
        <f>J34-'08'!H34</f>
        <v>219.21999999999997</v>
      </c>
      <c r="K38" s="78">
        <f>K34-'08'!I34</f>
        <v>2756</v>
      </c>
      <c r="L38" s="105">
        <f>IF(J34+L34=0,0,L34/(J34+L34))</f>
        <v>0.17970272904483428</v>
      </c>
      <c r="M38" s="67"/>
      <c r="N38" s="54">
        <f>N34-'08'!K34</f>
        <v>-15.549999999999955</v>
      </c>
      <c r="O38" s="78">
        <f>O34-'08'!L34</f>
        <v>4016</v>
      </c>
      <c r="P38" s="105">
        <f>IF(N34+P34=0,0,P34/(N34+P34))</f>
        <v>1.6172070833670251E-2</v>
      </c>
      <c r="Q38" s="67"/>
      <c r="R38" s="54">
        <f>R34-'08'!N34</f>
        <v>-39.490000000000123</v>
      </c>
      <c r="S38" s="78">
        <f>S34-'08'!O34</f>
        <v>-2220</v>
      </c>
      <c r="T38" s="105">
        <f>IF(R34+T34=0,0,T34/(R34+T34))</f>
        <v>0</v>
      </c>
      <c r="U38" s="67"/>
      <c r="V38" s="54">
        <f>V34-'08'!Q34</f>
        <v>-138.46000000000026</v>
      </c>
      <c r="W38" s="78">
        <f>W34-'08'!R34</f>
        <v>-3076</v>
      </c>
      <c r="X38" s="105">
        <f>IF(V34+X34=0,0,X34/(V34+X34))</f>
        <v>0</v>
      </c>
      <c r="Y38" s="67"/>
      <c r="Z38" s="54">
        <f>Z34-'08'!T34</f>
        <v>27.169999999999959</v>
      </c>
      <c r="AA38" s="78">
        <f>AA34-'08'!U34</f>
        <v>-1649</v>
      </c>
      <c r="AB38" s="105">
        <f>IF(Z34+AB34=0,0,AB34/(Z34+AB34))</f>
        <v>2.7633851468048354E-2</v>
      </c>
      <c r="AC38" s="67"/>
      <c r="AD38" s="54">
        <f>AD34-'08'!W34</f>
        <v>124.86000000000001</v>
      </c>
      <c r="AE38" s="78">
        <f>AE34-'08'!X34</f>
        <v>1830</v>
      </c>
      <c r="AF38" s="105">
        <f>IF(AD34+AF34=0,0,AF34/(AD34+AF34))</f>
        <v>0</v>
      </c>
      <c r="AG38" s="67"/>
      <c r="AH38" s="54">
        <f>AH34-'08'!Z34</f>
        <v>-134.17999999999995</v>
      </c>
      <c r="AI38" s="78">
        <f>AI34-'08'!AA34</f>
        <v>1015</v>
      </c>
      <c r="AJ38" s="105">
        <f>IF(AH34+AJ34=0,0,AJ34/(AH34+AJ34))</f>
        <v>0</v>
      </c>
      <c r="AK38" s="67"/>
      <c r="AL38" s="54">
        <f>AL34-'08'!AC34</f>
        <v>-123.76000000000005</v>
      </c>
      <c r="AM38" s="78">
        <f>AM34-'08'!AD34</f>
        <v>-2388</v>
      </c>
      <c r="AN38" s="105">
        <f>IF(AL34+AN34=0,0,AN34/(AL34+AN34))</f>
        <v>9.0444875732509269E-2</v>
      </c>
      <c r="AO38" s="67"/>
      <c r="AP38" s="54">
        <f>AP34-'08'!AF34</f>
        <v>-329.23000000000013</v>
      </c>
      <c r="AQ38" s="78">
        <f>AQ34-'08'!AG34</f>
        <v>847</v>
      </c>
      <c r="AR38" s="105">
        <f>IF(AP34+AR34=0,0,AR34/(AP34+AR34))</f>
        <v>0</v>
      </c>
      <c r="AS38" s="67"/>
      <c r="AT38" s="54">
        <f>AT34-'08'!AI34</f>
        <v>-39.129999999999939</v>
      </c>
      <c r="AU38" s="78">
        <f>AU34-'08'!AJ34</f>
        <v>-2745</v>
      </c>
      <c r="AV38" s="105">
        <f>IF(AT34+AV34=0,0,AV34/(AT34+AV34))</f>
        <v>7.3939431282541046E-2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H39" s="169"/>
      <c r="I39" s="168"/>
      <c r="J39" s="50">
        <f>SUM(B34,F34,J34)</f>
        <v>1106.95</v>
      </c>
      <c r="K39" s="51">
        <f t="shared" ref="K39:L39" si="12">SUM(C34,G34,K34)</f>
        <v>9621</v>
      </c>
      <c r="L39" s="170">
        <f t="shared" si="12"/>
        <v>502</v>
      </c>
      <c r="M39" s="168"/>
      <c r="P39" s="169"/>
      <c r="Q39" s="168"/>
      <c r="T39" s="169"/>
      <c r="U39" s="168"/>
      <c r="V39" s="50">
        <f>SUM(N34,R34,V34)</f>
        <v>2414.42</v>
      </c>
      <c r="W39" s="51">
        <f>SUM(O34,S34,W34)</f>
        <v>23523</v>
      </c>
      <c r="X39" s="170">
        <f>SUM(P34,T34,X34)</f>
        <v>12</v>
      </c>
      <c r="Y39" s="168"/>
      <c r="AB39" s="169"/>
      <c r="AC39" s="168"/>
      <c r="AF39" s="169"/>
      <c r="AG39" s="168"/>
      <c r="AH39" s="50">
        <f>SUM(Z34,AD34,AH34)</f>
        <v>2174.92</v>
      </c>
      <c r="AI39" s="51">
        <f>SUM(AA34,AE34,AI34)</f>
        <v>25325</v>
      </c>
      <c r="AJ39" s="170">
        <f>SUM(AB34,AF34,AJ34)</f>
        <v>24</v>
      </c>
      <c r="AK39" s="168"/>
      <c r="AN39" s="169"/>
      <c r="AO39" s="168"/>
      <c r="AR39" s="169"/>
      <c r="AS39" s="168"/>
      <c r="AT39" s="50">
        <f>SUM(AL34,AP34,AT34)</f>
        <v>1052.04</v>
      </c>
      <c r="AU39" s="51">
        <f>SUM(AM34,AQ34,AU34)</f>
        <v>8987</v>
      </c>
      <c r="AV39" s="170">
        <f>SUM(AN34,AR34,AV34)</f>
        <v>72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22.038159041394337</v>
      </c>
      <c r="K40" s="55">
        <f>IFERROR(AVERAGE(C37,G37,K37),0)</f>
        <v>192.47834967320262</v>
      </c>
      <c r="L40" s="152">
        <f>IFERROR(AVERAGE(D37,H37,L37),0)</f>
        <v>4.5403439153439147E-2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39.704331550802131</v>
      </c>
      <c r="W40" s="55">
        <f>IFERROR(AVERAGE(O37,S37,W37),0)</f>
        <v>387.247733085329</v>
      </c>
      <c r="X40" s="152">
        <f>IFERROR(AVERAGE(P37,T37,X37),0)</f>
        <v>6.9444444444444441E-3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30.071096491228072</v>
      </c>
      <c r="AI40" s="55">
        <f>IFERROR(AVERAGE(AA37,AE37,AI37),0)</f>
        <v>358.51087719298243</v>
      </c>
      <c r="AJ40" s="152">
        <f>IFERROR(AVERAGE(AB37,AF37,AJ37),0)</f>
        <v>1.3888888888888888E-2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23.134807539682541</v>
      </c>
      <c r="AU40" s="55">
        <f>IFERROR(AVERAGE(AM37,AQ37,AU37),0)</f>
        <v>202.17698412698414</v>
      </c>
      <c r="AV40" s="152">
        <f>IFERROR(AVERAGE(AN37,AR37,AV37),0)</f>
        <v>2.0833333333333332E-2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10</v>
      </c>
      <c r="C41" s="96">
        <f>RANK(C34,(C34,G34,K34,O34,S34,W34,AA34,AE34,AI34,AM34,AQ34,AU34))</f>
        <v>11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10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6</v>
      </c>
      <c r="K41" s="96">
        <f>RANK(K34,(C34,G34,K34,O34,S34,W34,AA34,AE34,AI34,AM34,AQ34,AU34))</f>
        <v>7</v>
      </c>
      <c r="L41" s="102">
        <f>RANK(L34,(D34,H34,L34,P34,T34,X34,AB34,AF34,AJ34,AN34,AR34,AV34))</f>
        <v>3</v>
      </c>
      <c r="M41" s="103"/>
      <c r="N41" s="95">
        <f>RANK(N34,(B34,F34,J34,N34,R34,V34,Z34,AD34,AH34,AL34,AP34,AT34))</f>
        <v>5</v>
      </c>
      <c r="O41" s="96">
        <f>RANK(O34,(C34,G34,K34,O34,S34,W34,AA34,AE34,AI34,AM34,AQ34,AU34))</f>
        <v>6</v>
      </c>
      <c r="P41" s="102">
        <f>RANK(P34,(D34,H34,L34,P34,T34,X34,AB34,AF34,AJ34,AN34,AR34,AV34))</f>
        <v>7</v>
      </c>
      <c r="Q41" s="103"/>
      <c r="R41" s="95">
        <f>RANK(R34,(B34,F34,J34,N34,R34,V34,Z34,AD34,AH34,AL34,AP34,AT34))</f>
        <v>3</v>
      </c>
      <c r="S41" s="96">
        <f>RANK(S34,(C34,G34,K34,O34,S34,W34,AA34,AE34,AI34,AM34,AQ34,AU34))</f>
        <v>4</v>
      </c>
      <c r="T41" s="102">
        <f>RANK(T34,(D34,H34,L34,P34,T34,X34,AB34,AF34,AJ34,AN34,AR34,AV34))</f>
        <v>8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2</v>
      </c>
      <c r="X41" s="102">
        <f>RANK(X34,(D34,H34,L34,P34,T34,X34,AB34,AF34,AJ34,AN34,AR34,AV34))</f>
        <v>8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5</v>
      </c>
      <c r="AC41" s="103"/>
      <c r="AD41" s="95">
        <f>RANK(AD34,(B34,F34,J34,N34,R34,V34,Z34,AD34,AH34,AL34,AP34,AT34))</f>
        <v>4</v>
      </c>
      <c r="AE41" s="96">
        <f>RANK(AE34,(C34,G34,K34,O34,S34,W34,AA34,AE34,AI34,AM34,AQ34,AU34))</f>
        <v>1</v>
      </c>
      <c r="AF41" s="102">
        <f>RANK(AF34,(D34,H34,L34,P34,T34,X34,AB34,AF34,AJ34,AN34,AR34,AV34))</f>
        <v>8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3</v>
      </c>
      <c r="AJ41" s="102">
        <f>RANK(AJ34,(D34,H34,L34,P34,T34,X34,AB34,AF34,AJ34,AN34,AR34,AV34))</f>
        <v>8</v>
      </c>
      <c r="AK41" s="103"/>
      <c r="AL41" s="95">
        <f>RANK(AL34,(B34,F34,J34,N34,R34,V34,Z34,AD34,AH34,AL34,AP34,AT34))</f>
        <v>8</v>
      </c>
      <c r="AM41" s="96">
        <f>RANK(AM34,(C34,G34,K34,O34,S34,W34,AA34,AE34,AI34,AM34,AQ34,AU34))</f>
        <v>9</v>
      </c>
      <c r="AN41" s="102">
        <f>RANK(AN34,(D34,H34,L34,P34,T34,X34,AB34,AF34,AJ34,AN34,AR34,AV34))</f>
        <v>4</v>
      </c>
      <c r="AO41" s="103"/>
      <c r="AP41" s="95">
        <f>RANK(AP34,(B34,F34,J34,N34,R34,V34,Z34,AD34,AH34,AL34,AP34,AT34))</f>
        <v>11</v>
      </c>
      <c r="AQ41" s="96">
        <f>RANK(AQ34,(C34,G34,K34,O34,S34,W34,AA34,AE34,AI34,AM34,AQ34,AU34))</f>
        <v>8</v>
      </c>
      <c r="AR41" s="102">
        <f>RANK(AR34,(D34,H34,L34,P34,T34,X34,AB34,AF34,AJ34,AN34,AR34,AV34))</f>
        <v>8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12</v>
      </c>
      <c r="AV41" s="102">
        <f>RANK(AV34,(D34,H34,L34,P34,T34,X34,AB34,AF34,AJ34,AN34,AR34,AV34))</f>
        <v>5</v>
      </c>
      <c r="AW41" s="107"/>
    </row>
    <row r="42" spans="1:49" x14ac:dyDescent="0.2">
      <c r="A42" s="52" t="s">
        <v>214</v>
      </c>
      <c r="B42" s="86">
        <f>T1</f>
        <v>28.737098655776773</v>
      </c>
      <c r="C42" s="87">
        <f>AB1</f>
        <v>285.10348601962454</v>
      </c>
      <c r="D42" s="88"/>
      <c r="E42" s="176" t="s">
        <v>399</v>
      </c>
      <c r="F42" s="177">
        <f>SUM(J23:J33,N3:N33,R3:R33,V3:V33,Z3:Z33,AD3:AD33,AH3:AH23)</f>
        <v>4639.9900000000025</v>
      </c>
      <c r="G42" s="178">
        <f>SUM(K23:K33,O3:O32,S3:S33,W3:W32,AA3:AA33,AE3:AE33,AI3:AI23)</f>
        <v>48039</v>
      </c>
      <c r="H42" s="179"/>
      <c r="I42" s="179"/>
      <c r="J42" s="180">
        <f>IFERROR(F42/(F42+F43),0)</f>
        <v>0.6875760373307177</v>
      </c>
      <c r="K42" s="180">
        <f>IFERROR(G42/(G42+G43),0)</f>
        <v>0.71215310721062619</v>
      </c>
      <c r="L42" s="179"/>
      <c r="M42" s="259" t="s">
        <v>600</v>
      </c>
      <c r="N42" s="257">
        <v>15</v>
      </c>
      <c r="Y42" s="99"/>
      <c r="AK42" s="211" t="s">
        <v>478</v>
      </c>
      <c r="AL42" s="47">
        <f>MAX(B34,F34,J34,N34,R34,V34,Z34,AD34,AH34,AL34,AP34,AT34)</f>
        <v>875.8599999999999</v>
      </c>
      <c r="AM42" s="212">
        <f>MAX(C34,G34,K34,O34,S34,W34,AA34,AE34,AI34,AM34,AQ34,AU34)</f>
        <v>9324</v>
      </c>
      <c r="AN42" s="49" t="s">
        <v>346</v>
      </c>
      <c r="AO42" s="210" t="s">
        <v>344</v>
      </c>
      <c r="AP42" s="54">
        <f>R1-'08'!O1</f>
        <v>-51.149999999999977</v>
      </c>
      <c r="AQ42" s="78">
        <f>AF1-'08'!W1</f>
        <v>499</v>
      </c>
      <c r="AR42" s="49" t="s">
        <v>345</v>
      </c>
      <c r="AS42" s="209" t="s">
        <v>344</v>
      </c>
      <c r="AT42" s="54">
        <f>I1-'08'!G1</f>
        <v>-75.56</v>
      </c>
      <c r="AU42" s="78">
        <f>AN1-'08'!AE1</f>
        <v>110</v>
      </c>
      <c r="AV42" s="49" t="s">
        <v>346</v>
      </c>
      <c r="AW42" s="100"/>
    </row>
    <row r="43" spans="1:49" x14ac:dyDescent="0.2">
      <c r="A43" s="52" t="s">
        <v>215</v>
      </c>
      <c r="B43" s="86">
        <f>E1/365</f>
        <v>18.488575342465754</v>
      </c>
      <c r="C43" s="87">
        <f>AU1/365</f>
        <v>184.81095890410958</v>
      </c>
      <c r="D43" s="88"/>
      <c r="E43" s="172" t="s">
        <v>400</v>
      </c>
      <c r="F43" s="173">
        <f>E1-F42</f>
        <v>2108.3399999999974</v>
      </c>
      <c r="G43" s="174">
        <f>AU1-G42</f>
        <v>19417</v>
      </c>
      <c r="H43" s="175"/>
      <c r="I43" s="175"/>
      <c r="J43" s="181">
        <f>IFERROR(F43/(F42+F43),0)</f>
        <v>0.31242396266928224</v>
      </c>
      <c r="K43" s="181">
        <f>IFERROR(G43/(G42+G43),0)</f>
        <v>0.28784689278937381</v>
      </c>
      <c r="L43" s="175"/>
      <c r="M43" s="65" t="s">
        <v>601</v>
      </c>
      <c r="N43" s="258">
        <v>6</v>
      </c>
      <c r="Y43" s="100"/>
      <c r="AK43" s="213" t="s">
        <v>481</v>
      </c>
      <c r="AL43" s="188">
        <f>IF($B$1&lt;&gt;0,$AV$35/$B1,0)</f>
        <v>8.2899244801469901E-2</v>
      </c>
      <c r="AO43" s="209"/>
      <c r="AP43" s="54"/>
      <c r="AQ43" s="188"/>
      <c r="AR43" s="49"/>
      <c r="AS43" s="209" t="s">
        <v>344</v>
      </c>
      <c r="AT43" s="54">
        <f>B1-'08'!C1</f>
        <v>-150.01000000000204</v>
      </c>
      <c r="AU43" s="78">
        <f>AU1-'08'!AI1</f>
        <v>-2844</v>
      </c>
      <c r="AV43" s="49" t="s">
        <v>347</v>
      </c>
      <c r="AW43" s="100"/>
    </row>
  </sheetData>
  <sheetProtection password="CC70" sheet="1" objects="1" scenarios="1"/>
  <mergeCells count="19"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  <mergeCell ref="O1:Q1"/>
    <mergeCell ref="I1:J1"/>
    <mergeCell ref="AB1:AC1"/>
    <mergeCell ref="B1:C1"/>
    <mergeCell ref="E1:F1"/>
    <mergeCell ref="G1:H1"/>
    <mergeCell ref="K1:L1"/>
    <mergeCell ref="M1:N1"/>
  </mergeCells>
  <conditionalFormatting sqref="D3:D33 H3:H33 L3:L33 P3:P33 T3:T33 X3:X33 AB3:AB33 AF3:AF33 AJ3:AJ33 AN3:AN33 AR3:AR33 AV3:AV33">
    <cfRule type="cellIs" dxfId="854" priority="149" stopIfTrue="1" operator="lessThan">
      <formula>50</formula>
    </cfRule>
    <cfRule type="cellIs" dxfId="853" priority="150" stopIfTrue="1" operator="greaterThanOrEqual">
      <formula>100</formula>
    </cfRule>
    <cfRule type="cellIs" dxfId="852" priority="151" operator="greaterThanOrEqual">
      <formula>50</formula>
    </cfRule>
  </conditionalFormatting>
  <conditionalFormatting sqref="F34 J34 N34 R34 V34 Z34 AD34 AH34 AL34 AP34 AT34">
    <cfRule type="cellIs" dxfId="851" priority="397" operator="equal">
      <formula>$R$1</formula>
    </cfRule>
    <cfRule type="cellIs" dxfId="850" priority="398" operator="equal">
      <formula>$M$1</formula>
    </cfRule>
  </conditionalFormatting>
  <conditionalFormatting sqref="C34 G34 K34 O34 S34 W34 AA34 AE34 AI34 AM34 AQ34 AU34">
    <cfRule type="cellIs" dxfId="849" priority="629" operator="equal">
      <formula>$AF$1</formula>
    </cfRule>
    <cfRule type="cellIs" dxfId="848" priority="630" operator="equal">
      <formula>$AJ$1</formula>
    </cfRule>
  </conditionalFormatting>
  <conditionalFormatting sqref="B38:C38 F38:G38 J38:K38 N38:O38 R38:S38 V38:W38 Z38:AA38 AD38:AE38 AH38:AI38 AL38:AM38 AP38:AQ38 AT38:AU38">
    <cfRule type="cellIs" dxfId="847" priority="142" operator="lessThan">
      <formula>0</formula>
    </cfRule>
    <cfRule type="cellIs" dxfId="846" priority="143" operator="greaterThanOrEqual">
      <formula>0</formula>
    </cfRule>
  </conditionalFormatting>
  <conditionalFormatting sqref="C38 G38 K38 O38 S38 W38 AA38 AE38 AI38 AM38 AQ38 AU38">
    <cfRule type="cellIs" dxfId="845" priority="140" operator="lessThan">
      <formula>0</formula>
    </cfRule>
    <cfRule type="cellIs" dxfId="844" priority="141" operator="greaterThanOrEqual">
      <formula>0</formula>
    </cfRule>
  </conditionalFormatting>
  <conditionalFormatting sqref="B3:B33 F3:F33 J3:J33 N3:N33 R3:R33 V3:V33 Z3:Z33 AD3:AD33 AH3:AH33 AL3:AL33 AP3:AP33 AT3:AT33">
    <cfRule type="cellIs" dxfId="843" priority="164" stopIfTrue="1" operator="lessThan">
      <formula>50</formula>
    </cfRule>
    <cfRule type="cellIs" dxfId="842" priority="165" stopIfTrue="1" operator="greaterThanOrEqual">
      <formula>100</formula>
    </cfRule>
    <cfRule type="cellIs" dxfId="841" priority="166" operator="greaterThanOrEqual">
      <formula>50</formula>
    </cfRule>
  </conditionalFormatting>
  <conditionalFormatting sqref="C3:C33 G3:G33 K3:K33 O3:O33 S3:S33 W3:W33 AA3:AA33 AE3:AE33 AI3:AI33 AM3:AM33 AQ3:AQ33 AU3:AU33">
    <cfRule type="cellIs" dxfId="840" priority="161" stopIfTrue="1" operator="between">
      <formula>0</formula>
      <formula>749.99</formula>
    </cfRule>
    <cfRule type="cellIs" dxfId="839" priority="162" stopIfTrue="1" operator="greaterThanOrEqual">
      <formula>1500</formula>
    </cfRule>
    <cfRule type="cellIs" dxfId="838" priority="163" operator="greaterThanOrEqual">
      <formula>750</formula>
    </cfRule>
  </conditionalFormatting>
  <conditionalFormatting sqref="AT42:AU43">
    <cfRule type="cellIs" dxfId="837" priority="113" operator="lessThan">
      <formula>0</formula>
    </cfRule>
    <cfRule type="cellIs" dxfId="836" priority="114" operator="greaterThanOrEqual">
      <formula>0</formula>
    </cfRule>
  </conditionalFormatting>
  <conditionalFormatting sqref="AU42:AU43">
    <cfRule type="cellIs" dxfId="835" priority="111" operator="lessThan">
      <formula>0</formula>
    </cfRule>
    <cfRule type="cellIs" dxfId="834" priority="112" operator="greaterThanOrEqual">
      <formula>0</formula>
    </cfRule>
  </conditionalFormatting>
  <conditionalFormatting sqref="D38">
    <cfRule type="cellIs" dxfId="833" priority="110" operator="equal">
      <formula>MAX($D$38,$H$38,$L$38,$P$38,$T$38,$X$38,$AB$38,$AF$38,$AJ$38,$AN$38,$AR$38,$AV$38)</formula>
    </cfRule>
  </conditionalFormatting>
  <conditionalFormatting sqref="H38">
    <cfRule type="cellIs" dxfId="832" priority="109" operator="equal">
      <formula>MAX($D$38,$H$38,$L$38,$P$38,$T$38,$X$38,$AB$38,$AF$38,$AJ$38,$AN$38,$AR$38,$AV$38)</formula>
    </cfRule>
  </conditionalFormatting>
  <conditionalFormatting sqref="L38">
    <cfRule type="cellIs" dxfId="831" priority="108" operator="equal">
      <formula>MAX($D$38,$H$38,$L$38,$P$38,$T$38,$X$38,$AB$38,$AF$38,$AJ$38,$AN$38,$AR$38,$AV$38)</formula>
    </cfRule>
  </conditionalFormatting>
  <conditionalFormatting sqref="P38">
    <cfRule type="cellIs" dxfId="830" priority="107" operator="equal">
      <formula>MAX($D$38,$H$38,$L$38,$P$38,$T$38,$X$38,$AB$38,$AF$38,$AJ$38,$AN$38,$AR$38,$AV$38)</formula>
    </cfRule>
  </conditionalFormatting>
  <conditionalFormatting sqref="T38">
    <cfRule type="cellIs" dxfId="829" priority="106" operator="equal">
      <formula>MAX($D$38,$H$38,$L$38,$P$38,$T$38,$X$38,$AB$38,$AF$38,$AJ$38,$AN$38,$AR$38,$AV$38)</formula>
    </cfRule>
  </conditionalFormatting>
  <conditionalFormatting sqref="X38">
    <cfRule type="cellIs" dxfId="828" priority="105" operator="equal">
      <formula>MAX($D$38,$H$38,$L$38,$P$38,$T$38,$X$38,$AB$38,$AF$38,$AJ$38,$AN$38,$AR$38,$AV$38)</formula>
    </cfRule>
  </conditionalFormatting>
  <conditionalFormatting sqref="AB38">
    <cfRule type="cellIs" dxfId="827" priority="104" operator="equal">
      <formula>MAX($D$38,$H$38,$L$38,$P$38,$T$38,$X$38,$AB$38,$AF$38,$AJ$38,$AN$38,$AR$38,$AV$38)</formula>
    </cfRule>
  </conditionalFormatting>
  <conditionalFormatting sqref="AF38">
    <cfRule type="cellIs" dxfId="826" priority="103" operator="equal">
      <formula>MAX($D$38,$H$38,$L$38,$P$38,$T$38,$X$38,$AB$38,$AF$38,$AJ$38,$AN$38,$AR$38,$AV$38)</formula>
    </cfRule>
  </conditionalFormatting>
  <conditionalFormatting sqref="AJ38">
    <cfRule type="cellIs" dxfId="825" priority="102" operator="equal">
      <formula>MAX($D$38,$H$38,$L$38,$P$38,$T$38,$X$38,$AB$38,$AF$38,$AJ$38,$AN$38,$AR$38,$AV$38)</formula>
    </cfRule>
  </conditionalFormatting>
  <conditionalFormatting sqref="AN38">
    <cfRule type="cellIs" dxfId="824" priority="101" operator="equal">
      <formula>MAX($D$38,$H$38,$L$38,$P$38,$T$38,$X$38,$AB$38,$AF$38,$AJ$38,$AN$38,$AR$38,$AV$38)</formula>
    </cfRule>
  </conditionalFormatting>
  <conditionalFormatting sqref="AR38">
    <cfRule type="cellIs" dxfId="823" priority="100" operator="equal">
      <formula>MAX($D$38,$H$38,$L$38,$P$38,$T$38,$X$38,$AB$38,$AF$38,$AJ$38,$AN$38,$AR$38,$AV$38)</formula>
    </cfRule>
  </conditionalFormatting>
  <conditionalFormatting sqref="AV38">
    <cfRule type="cellIs" dxfId="822" priority="99" operator="equal">
      <formula>MAX($D$38,$H$38,$L$38,$P$38,$T$38,$X$38,$AB$38,$AF$38,$AJ$38,$AN$38,$AR$38,$AV$38)</formula>
    </cfRule>
  </conditionalFormatting>
  <conditionalFormatting sqref="D34">
    <cfRule type="cellIs" dxfId="821" priority="98" operator="equal">
      <formula>MAX($D$34,$H$34,$L$34,$P$34,$T$34,$X$34,$AB$34,$AF$34,$AJ$34,$AN$34,$AR$34,$AV$34)</formula>
    </cfRule>
  </conditionalFormatting>
  <conditionalFormatting sqref="D38">
    <cfRule type="cellIs" dxfId="820" priority="91" operator="equal">
      <formula>MAX($D$38,$H$38,$L$38,$P$38,$T$38,$X$38,$AB$38,$AF$38,$AJ$38,$AN$38,$AR$38,$AV$38)</formula>
    </cfRule>
  </conditionalFormatting>
  <conditionalFormatting sqref="D3:D33">
    <cfRule type="cellIs" dxfId="819" priority="88" stopIfTrue="1" operator="between">
      <formula>0</formula>
      <formula>0.0416550925925926</formula>
    </cfRule>
    <cfRule type="cellIs" dxfId="818" priority="89" stopIfTrue="1" operator="between">
      <formula>0.0416666666666667</formula>
      <formula>0.0833217592592593</formula>
    </cfRule>
    <cfRule type="cellIs" dxfId="817" priority="90" stopIfTrue="1" operator="between">
      <formula>0.0833333333333333</formula>
      <formula>4.16665509259259</formula>
    </cfRule>
  </conditionalFormatting>
  <conditionalFormatting sqref="H3:H33">
    <cfRule type="cellIs" dxfId="816" priority="85" stopIfTrue="1" operator="between">
      <formula>0</formula>
      <formula>0.0416550925925926</formula>
    </cfRule>
    <cfRule type="cellIs" dxfId="815" priority="86" stopIfTrue="1" operator="between">
      <formula>0.0416666666666667</formula>
      <formula>0.0833217592592593</formula>
    </cfRule>
    <cfRule type="cellIs" dxfId="814" priority="87" stopIfTrue="1" operator="between">
      <formula>0.0833333333333333</formula>
      <formula>4.16665509259259</formula>
    </cfRule>
  </conditionalFormatting>
  <conditionalFormatting sqref="L3:L33">
    <cfRule type="cellIs" dxfId="813" priority="82" stopIfTrue="1" operator="between">
      <formula>0</formula>
      <formula>0.0416550925925926</formula>
    </cfRule>
    <cfRule type="cellIs" dxfId="812" priority="83" stopIfTrue="1" operator="between">
      <formula>0.0416666666666667</formula>
      <formula>0.0833217592592593</formula>
    </cfRule>
    <cfRule type="cellIs" dxfId="811" priority="84" stopIfTrue="1" operator="between">
      <formula>0.0833333333333333</formula>
      <formula>4.16665509259259</formula>
    </cfRule>
  </conditionalFormatting>
  <conditionalFormatting sqref="P3:P33">
    <cfRule type="cellIs" dxfId="810" priority="79" stopIfTrue="1" operator="between">
      <formula>0</formula>
      <formula>0.0416550925925926</formula>
    </cfRule>
    <cfRule type="cellIs" dxfId="809" priority="80" stopIfTrue="1" operator="between">
      <formula>0.0416666666666667</formula>
      <formula>0.0833217592592593</formula>
    </cfRule>
    <cfRule type="cellIs" dxfId="808" priority="81" stopIfTrue="1" operator="between">
      <formula>0.0833333333333333</formula>
      <formula>4.16665509259259</formula>
    </cfRule>
  </conditionalFormatting>
  <conditionalFormatting sqref="T3:T33">
    <cfRule type="cellIs" dxfId="807" priority="76" stopIfTrue="1" operator="between">
      <formula>0</formula>
      <formula>0.0416550925925926</formula>
    </cfRule>
    <cfRule type="cellIs" dxfId="806" priority="77" stopIfTrue="1" operator="between">
      <formula>0.0416666666666667</formula>
      <formula>0.0833217592592593</formula>
    </cfRule>
    <cfRule type="cellIs" dxfId="805" priority="78" stopIfTrue="1" operator="between">
      <formula>0.0833333333333333</formula>
      <formula>4.16665509259259</formula>
    </cfRule>
  </conditionalFormatting>
  <conditionalFormatting sqref="X3:X33">
    <cfRule type="cellIs" dxfId="804" priority="73" stopIfTrue="1" operator="between">
      <formula>0</formula>
      <formula>0.0416550925925926</formula>
    </cfRule>
    <cfRule type="cellIs" dxfId="803" priority="74" stopIfTrue="1" operator="between">
      <formula>0.0416666666666667</formula>
      <formula>0.0833217592592593</formula>
    </cfRule>
    <cfRule type="cellIs" dxfId="802" priority="75" stopIfTrue="1" operator="between">
      <formula>0.0833333333333333</formula>
      <formula>4.16665509259259</formula>
    </cfRule>
  </conditionalFormatting>
  <conditionalFormatting sqref="AB3:AB33">
    <cfRule type="cellIs" dxfId="801" priority="70" stopIfTrue="1" operator="between">
      <formula>0</formula>
      <formula>0.0416550925925926</formula>
    </cfRule>
    <cfRule type="cellIs" dxfId="800" priority="71" stopIfTrue="1" operator="between">
      <formula>0.0416666666666667</formula>
      <formula>0.0833217592592593</formula>
    </cfRule>
    <cfRule type="cellIs" dxfId="799" priority="72" stopIfTrue="1" operator="between">
      <formula>0.0833333333333333</formula>
      <formula>4.16665509259259</formula>
    </cfRule>
  </conditionalFormatting>
  <conditionalFormatting sqref="AF3:AF33">
    <cfRule type="cellIs" dxfId="798" priority="67" stopIfTrue="1" operator="between">
      <formula>0</formula>
      <formula>0.0416550925925926</formula>
    </cfRule>
    <cfRule type="cellIs" dxfId="797" priority="68" stopIfTrue="1" operator="between">
      <formula>0.0416666666666667</formula>
      <formula>0.0833217592592593</formula>
    </cfRule>
    <cfRule type="cellIs" dxfId="796" priority="69" stopIfTrue="1" operator="between">
      <formula>0.0833333333333333</formula>
      <formula>4.16665509259259</formula>
    </cfRule>
  </conditionalFormatting>
  <conditionalFormatting sqref="AJ3:AJ33">
    <cfRule type="cellIs" dxfId="795" priority="64" stopIfTrue="1" operator="between">
      <formula>0</formula>
      <formula>0.0416550925925926</formula>
    </cfRule>
    <cfRule type="cellIs" dxfId="794" priority="65" stopIfTrue="1" operator="between">
      <formula>0.0416666666666667</formula>
      <formula>0.0833217592592593</formula>
    </cfRule>
    <cfRule type="cellIs" dxfId="793" priority="66" stopIfTrue="1" operator="between">
      <formula>0.0833333333333333</formula>
      <formula>4.16665509259259</formula>
    </cfRule>
  </conditionalFormatting>
  <conditionalFormatting sqref="AN3:AN33">
    <cfRule type="cellIs" dxfId="792" priority="61" stopIfTrue="1" operator="between">
      <formula>0</formula>
      <formula>0.0416550925925926</formula>
    </cfRule>
    <cfRule type="cellIs" dxfId="791" priority="62" stopIfTrue="1" operator="between">
      <formula>0.0416666666666667</formula>
      <formula>0.0833217592592593</formula>
    </cfRule>
    <cfRule type="cellIs" dxfId="790" priority="63" stopIfTrue="1" operator="between">
      <formula>0.0833333333333333</formula>
      <formula>4.16665509259259</formula>
    </cfRule>
  </conditionalFormatting>
  <conditionalFormatting sqref="AR3:AR33">
    <cfRule type="cellIs" dxfId="789" priority="58" stopIfTrue="1" operator="between">
      <formula>0</formula>
      <formula>0.0416550925925926</formula>
    </cfRule>
    <cfRule type="cellIs" dxfId="788" priority="59" stopIfTrue="1" operator="between">
      <formula>0.0416666666666667</formula>
      <formula>0.0833217592592593</formula>
    </cfRule>
    <cfRule type="cellIs" dxfId="787" priority="60" stopIfTrue="1" operator="between">
      <formula>0.0833333333333333</formula>
      <formula>4.16665509259259</formula>
    </cfRule>
  </conditionalFormatting>
  <conditionalFormatting sqref="AV3:AV33">
    <cfRule type="cellIs" dxfId="786" priority="55" stopIfTrue="1" operator="between">
      <formula>0</formula>
      <formula>0.0416550925925926</formula>
    </cfRule>
    <cfRule type="cellIs" dxfId="785" priority="56" stopIfTrue="1" operator="between">
      <formula>0.0416666666666667</formula>
      <formula>0.0833217592592593</formula>
    </cfRule>
    <cfRule type="cellIs" dxfId="784" priority="57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83" priority="42" operator="equal">
      <formula>MAX($D$36,$H$36,$L$36,$P$36,$T$36,$X$36,$AB$36,$AF$36,$AJ$36,$AN$36,$AR$36,$AV$36)</formula>
    </cfRule>
  </conditionalFormatting>
  <conditionalFormatting sqref="AP42:AQ42">
    <cfRule type="cellIs" dxfId="782" priority="40" operator="lessThan">
      <formula>0</formula>
    </cfRule>
    <cfRule type="cellIs" dxfId="781" priority="41" operator="greaterThanOrEqual">
      <formula>0</formula>
    </cfRule>
  </conditionalFormatting>
  <conditionalFormatting sqref="AQ42">
    <cfRule type="cellIs" dxfId="780" priority="38" operator="lessThan">
      <formula>0</formula>
    </cfRule>
    <cfRule type="cellIs" dxfId="779" priority="39" operator="greaterThanOrEqual">
      <formula>0</formula>
    </cfRule>
  </conditionalFormatting>
  <conditionalFormatting sqref="AP43">
    <cfRule type="cellIs" dxfId="778" priority="36" operator="lessThan">
      <formula>0</formula>
    </cfRule>
    <cfRule type="cellIs" dxfId="777" priority="37" operator="greaterThanOrEqual">
      <formula>0</formula>
    </cfRule>
  </conditionalFormatting>
  <conditionalFormatting sqref="B34">
    <cfRule type="cellIs" dxfId="776" priority="34" operator="equal">
      <formula>$O$1</formula>
    </cfRule>
    <cfRule type="cellIs" dxfId="775" priority="35" operator="equal">
      <formula>$K$1</formula>
    </cfRule>
  </conditionalFormatting>
  <conditionalFormatting sqref="AL42">
    <cfRule type="cellIs" dxfId="774" priority="23" stopIfTrue="1" operator="lessThan">
      <formula>1000</formula>
    </cfRule>
    <cfRule type="cellIs" dxfId="773" priority="24" stopIfTrue="1" operator="lessThan">
      <formula>1100</formula>
    </cfRule>
    <cfRule type="cellIs" dxfId="772" priority="25" stopIfTrue="1" operator="lessThan">
      <formula>9999</formula>
    </cfRule>
  </conditionalFormatting>
  <conditionalFormatting sqref="AM42">
    <cfRule type="cellIs" dxfId="771" priority="20" stopIfTrue="1" operator="lessThan">
      <formula>10000</formula>
    </cfRule>
    <cfRule type="cellIs" dxfId="770" priority="21" stopIfTrue="1" operator="lessThan">
      <formula>13000</formula>
    </cfRule>
    <cfRule type="cellIs" dxfId="769" priority="22" stopIfTrue="1" operator="lessThan">
      <formula>99999</formula>
    </cfRule>
  </conditionalFormatting>
  <conditionalFormatting sqref="AL43">
    <cfRule type="cellIs" dxfId="768" priority="14" stopIfTrue="1" operator="lessThan">
      <formula>0.05</formula>
    </cfRule>
    <cfRule type="cellIs" dxfId="767" priority="15" stopIfTrue="1" operator="lessThan">
      <formula>0.1</formula>
    </cfRule>
    <cfRule type="cellIs" dxfId="766" priority="16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1" bestFit="1" customWidth="1"/>
  </cols>
  <sheetData>
    <row r="1" spans="1:13" s="30" customFormat="1" x14ac:dyDescent="0.2">
      <c r="A1" s="161" t="s">
        <v>55</v>
      </c>
      <c r="B1" s="22" t="s">
        <v>0</v>
      </c>
      <c r="C1" s="306" t="s">
        <v>238</v>
      </c>
      <c r="D1" s="21" t="s">
        <v>2</v>
      </c>
      <c r="E1" s="23" t="s">
        <v>237</v>
      </c>
      <c r="F1" s="21" t="s">
        <v>24</v>
      </c>
      <c r="G1" s="21" t="s">
        <v>1</v>
      </c>
      <c r="H1" s="24" t="s">
        <v>3</v>
      </c>
      <c r="I1" s="25" t="s">
        <v>22</v>
      </c>
      <c r="J1" s="21"/>
    </row>
    <row r="2" spans="1:13" x14ac:dyDescent="0.2">
      <c r="A2" s="1" t="s">
        <v>780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393</v>
      </c>
      <c r="I2" s="18">
        <f t="shared" ref="I2:I41" si="0">D2/(C2*1000)</f>
        <v>2E-3</v>
      </c>
    </row>
    <row r="3" spans="1:13" x14ac:dyDescent="0.2">
      <c r="A3" s="1" t="s">
        <v>930</v>
      </c>
      <c r="B3" s="2">
        <v>0.25</v>
      </c>
      <c r="C3" s="11">
        <v>123</v>
      </c>
      <c r="D3" s="72">
        <v>250</v>
      </c>
      <c r="E3" s="12">
        <v>20.5</v>
      </c>
      <c r="F3" s="72">
        <v>126</v>
      </c>
      <c r="G3" s="72">
        <v>150</v>
      </c>
      <c r="H3" s="6" t="s">
        <v>393</v>
      </c>
      <c r="I3" s="18">
        <f t="shared" si="0"/>
        <v>2.0325203252032522E-3</v>
      </c>
    </row>
    <row r="4" spans="1:13" x14ac:dyDescent="0.2">
      <c r="A4" s="1" t="s">
        <v>827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393</v>
      </c>
      <c r="I4" s="18">
        <f t="shared" si="0"/>
        <v>2.0560747663551401E-3</v>
      </c>
    </row>
    <row r="5" spans="1:13" x14ac:dyDescent="0.2">
      <c r="A5" s="1" t="s">
        <v>810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72">
        <v>126</v>
      </c>
      <c r="G5" s="72">
        <v>150</v>
      </c>
      <c r="H5" s="6" t="s">
        <v>393</v>
      </c>
      <c r="I5" s="18">
        <f t="shared" si="0"/>
        <v>1.9750519750519752E-3</v>
      </c>
    </row>
    <row r="6" spans="1:13" x14ac:dyDescent="0.2">
      <c r="A6" s="1" t="s">
        <v>770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393</v>
      </c>
      <c r="I6" s="18">
        <f t="shared" si="0"/>
        <v>2.0454545454545456E-3</v>
      </c>
    </row>
    <row r="7" spans="1:13" x14ac:dyDescent="0.2">
      <c r="A7" s="1" t="s">
        <v>218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466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191" t="s">
        <v>5</v>
      </c>
      <c r="I8" s="18">
        <f t="shared" si="0"/>
        <v>6.8638462498440034E-4</v>
      </c>
    </row>
    <row r="9" spans="1:13" x14ac:dyDescent="0.2">
      <c r="A9" s="1" t="s">
        <v>219</v>
      </c>
      <c r="B9" s="2">
        <v>0.12418981481481482</v>
      </c>
      <c r="C9" s="3">
        <v>78.14</v>
      </c>
      <c r="D9" s="72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731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393</v>
      </c>
      <c r="I10" s="18">
        <f t="shared" si="0"/>
        <v>1.9230769230769232E-3</v>
      </c>
    </row>
    <row r="11" spans="1:13" x14ac:dyDescent="0.2">
      <c r="A11" s="1" t="s">
        <v>925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3"/>
      <c r="M11" s="41"/>
    </row>
    <row r="12" spans="1:13" x14ac:dyDescent="0.2">
      <c r="A12" s="1" t="s">
        <v>885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6" t="s">
        <v>393</v>
      </c>
      <c r="I12" s="18">
        <f t="shared" si="0"/>
        <v>1.9501950195019502E-3</v>
      </c>
      <c r="M12" s="41"/>
    </row>
    <row r="13" spans="1:13" x14ac:dyDescent="0.2">
      <c r="A13" s="1" t="s">
        <v>123</v>
      </c>
      <c r="B13" s="2">
        <v>9.6180555555555561E-2</v>
      </c>
      <c r="C13" s="106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471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472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191" t="s">
        <v>6</v>
      </c>
      <c r="I15" s="18">
        <f t="shared" si="0"/>
        <v>5.3107789142407553E-4</v>
      </c>
    </row>
    <row r="16" spans="1:13" x14ac:dyDescent="0.2">
      <c r="A16" s="1" t="s">
        <v>290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191" t="s">
        <v>5</v>
      </c>
      <c r="I16" s="18">
        <f t="shared" si="0"/>
        <v>8.9999999999999998E-4</v>
      </c>
    </row>
    <row r="17" spans="1:14" x14ac:dyDescent="0.2">
      <c r="A17" s="1" t="s">
        <v>730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193" t="s">
        <v>393</v>
      </c>
      <c r="I17" s="18">
        <f t="shared" si="0"/>
        <v>2.2000000000000001E-3</v>
      </c>
    </row>
    <row r="18" spans="1:14" x14ac:dyDescent="0.2">
      <c r="A18" s="1" t="s">
        <v>934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393</v>
      </c>
      <c r="I18" s="18">
        <f t="shared" si="0"/>
        <v>1.9318181818181819E-3</v>
      </c>
    </row>
    <row r="19" spans="1:14" x14ac:dyDescent="0.2">
      <c r="A19" s="1" t="s">
        <v>473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260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650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393</v>
      </c>
      <c r="I21" s="18">
        <f t="shared" si="0"/>
        <v>8.7500000000000002E-4</v>
      </c>
    </row>
    <row r="22" spans="1:14" x14ac:dyDescent="0.2">
      <c r="A22" s="1" t="s">
        <v>257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220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1"/>
    </row>
    <row r="24" spans="1:14" x14ac:dyDescent="0.2">
      <c r="A24" s="1" t="s">
        <v>630</v>
      </c>
      <c r="B24" s="2">
        <v>5.347222222222222E-2</v>
      </c>
      <c r="C24" s="3">
        <v>30.799999999999997</v>
      </c>
      <c r="D24" s="13">
        <v>40</v>
      </c>
      <c r="E24" s="228">
        <v>24</v>
      </c>
      <c r="F24" s="13">
        <v>120</v>
      </c>
      <c r="G24" s="13">
        <v>130</v>
      </c>
      <c r="H24" s="6" t="s">
        <v>393</v>
      </c>
      <c r="I24" s="18">
        <f t="shared" si="0"/>
        <v>1.2987012987012989E-3</v>
      </c>
      <c r="K24" s="9"/>
      <c r="N24" s="41"/>
    </row>
    <row r="25" spans="1:14" x14ac:dyDescent="0.2">
      <c r="A25" s="1" t="s">
        <v>474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762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639</v>
      </c>
      <c r="I26" s="18">
        <f t="shared" si="0"/>
        <v>1.5E-3</v>
      </c>
    </row>
    <row r="27" spans="1:14" x14ac:dyDescent="0.2">
      <c r="A27" s="1" t="s">
        <v>216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578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808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631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174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843</v>
      </c>
      <c r="B32" s="2">
        <v>2.8472222222222222E-2</v>
      </c>
      <c r="C32" s="11">
        <v>21.6</v>
      </c>
      <c r="D32" s="72">
        <v>80</v>
      </c>
      <c r="E32" s="12">
        <v>31.609756097560975</v>
      </c>
      <c r="F32" s="72">
        <v>128</v>
      </c>
      <c r="G32" s="72">
        <v>181</v>
      </c>
      <c r="H32" s="6" t="s">
        <v>5</v>
      </c>
      <c r="I32" s="18">
        <f t="shared" si="0"/>
        <v>3.7037037037037038E-3</v>
      </c>
    </row>
    <row r="33" spans="1:9" x14ac:dyDescent="0.2">
      <c r="A33" s="1" t="s">
        <v>579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401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191" t="s">
        <v>6</v>
      </c>
      <c r="I34" s="18">
        <f t="shared" si="0"/>
        <v>1.4851485148514852E-3</v>
      </c>
    </row>
    <row r="35" spans="1:9" x14ac:dyDescent="0.2">
      <c r="A35" s="1" t="s">
        <v>378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191" t="s">
        <v>6</v>
      </c>
      <c r="I35" s="18">
        <f t="shared" si="0"/>
        <v>1.4947683109118087E-3</v>
      </c>
    </row>
    <row r="36" spans="1:9" x14ac:dyDescent="0.2">
      <c r="A36" s="1" t="s">
        <v>388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393</v>
      </c>
      <c r="I36" s="18">
        <f t="shared" si="0"/>
        <v>2.7431421446384042E-3</v>
      </c>
    </row>
    <row r="37" spans="1:9" x14ac:dyDescent="0.2">
      <c r="A37" s="1" t="s">
        <v>462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461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193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107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910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xmlns:xlrd2="http://schemas.microsoft.com/office/spreadsheetml/2017/richdata2" ref="A2:I41">
    <sortCondition descending="1" ref="C1"/>
  </sortState>
  <conditionalFormatting sqref="E1:E1048576">
    <cfRule type="cellIs" dxfId="1723" priority="3" stopIfTrue="1" operator="between">
      <formula>0</formula>
      <formula>19.99</formula>
    </cfRule>
    <cfRule type="cellIs" dxfId="1722" priority="82" stopIfTrue="1" operator="between">
      <formula>10</formula>
      <formula>24.99</formula>
    </cfRule>
    <cfRule type="cellIs" dxfId="1721" priority="83" stopIfTrue="1" operator="between">
      <formula>25</formula>
      <formula>29.99</formula>
    </cfRule>
    <cfRule type="cellIs" dxfId="1720" priority="84" stopIfTrue="1" operator="between">
      <formula>30</formula>
      <formula>99.99</formula>
    </cfRule>
  </conditionalFormatting>
  <conditionalFormatting sqref="I1:I1048576">
    <cfRule type="cellIs" dxfId="1719" priority="1" operator="equal">
      <formula>MIN($I:$I)</formula>
    </cfRule>
    <cfRule type="cellIs" dxfId="1718" priority="2" operator="equal">
      <formula>MAX($I:$I)</formula>
    </cfRule>
    <cfRule type="cellIs" dxfId="1717" priority="58" stopIfTrue="1" operator="between">
      <formula>0</formula>
      <formula>0.0009999</formula>
    </cfRule>
    <cfRule type="cellIs" dxfId="1716" priority="59" stopIfTrue="1" operator="between">
      <formula>0.001</formula>
      <formula>0.0019999</formula>
    </cfRule>
  </conditionalFormatting>
  <conditionalFormatting sqref="D1:D1048576">
    <cfRule type="cellIs" dxfId="1715" priority="46" stopIfTrue="1" operator="between">
      <formula>0</formula>
      <formula>99.99</formula>
    </cfRule>
    <cfRule type="cellIs" dxfId="1714" priority="47" stopIfTrue="1" operator="between">
      <formula>100</formula>
      <formula>499.99</formula>
    </cfRule>
    <cfRule type="cellIs" dxfId="1713" priority="48" stopIfTrue="1" operator="between">
      <formula>500</formula>
      <formula>999.99</formula>
    </cfRule>
    <cfRule type="cellIs" dxfId="1712" priority="49" stopIfTrue="1" operator="between">
      <formula>1000</formula>
      <formula>1499.99</formula>
    </cfRule>
    <cfRule type="cellIs" dxfId="1711" priority="50" stopIfTrue="1" operator="between">
      <formula>1500</formula>
      <formula>1999.99</formula>
    </cfRule>
  </conditionalFormatting>
  <conditionalFormatting sqref="D1:D1048576">
    <cfRule type="cellIs" dxfId="1710" priority="51" stopIfTrue="1" operator="between">
      <formula>2000</formula>
      <formula>9999.99</formula>
    </cfRule>
  </conditionalFormatting>
  <conditionalFormatting sqref="B1:B1048576">
    <cfRule type="cellIs" dxfId="1709" priority="41" stopIfTrue="1" operator="between">
      <formula>0</formula>
      <formula>0.041666665</formula>
    </cfRule>
    <cfRule type="cellIs" dxfId="1708" priority="42" stopIfTrue="1" operator="between">
      <formula>0.0416666666666667</formula>
      <formula>0.124999884259259</formula>
    </cfRule>
    <cfRule type="cellIs" dxfId="1707" priority="43" stopIfTrue="1" operator="between">
      <formula>0.125</formula>
      <formula>0.166666550925926</formula>
    </cfRule>
    <cfRule type="cellIs" dxfId="1706" priority="44" stopIfTrue="1" operator="between">
      <formula>0.0833333333333333</formula>
      <formula>0.208333217592593</formula>
    </cfRule>
    <cfRule type="cellIs" dxfId="1705" priority="45" stopIfTrue="1" operator="between">
      <formula>0.208333333333333</formula>
      <formula>4.16666655092593</formula>
    </cfRule>
  </conditionalFormatting>
  <conditionalFormatting sqref="G1:G1048576">
    <cfRule type="cellIs" dxfId="1704" priority="35" stopIfTrue="1" operator="between">
      <formula>0</formula>
      <formula>130</formula>
    </cfRule>
    <cfRule type="cellIs" dxfId="1703" priority="36" stopIfTrue="1" operator="between">
      <formula>130.01</formula>
      <formula>140</formula>
    </cfRule>
    <cfRule type="cellIs" dxfId="1702" priority="37" stopIfTrue="1" operator="between">
      <formula>140.01</formula>
      <formula>150</formula>
    </cfRule>
    <cfRule type="cellIs" dxfId="1701" priority="38" stopIfTrue="1" operator="between">
      <formula>150.01</formula>
      <formula>160</formula>
    </cfRule>
    <cfRule type="cellIs" dxfId="1700" priority="39" stopIfTrue="1" operator="between">
      <formula>160.01</formula>
      <formula>170</formula>
    </cfRule>
  </conditionalFormatting>
  <conditionalFormatting sqref="G1:G1048576">
    <cfRule type="cellIs" dxfId="1699" priority="40" stopIfTrue="1" operator="between">
      <formula>170.01</formula>
      <formula>9999.99</formula>
    </cfRule>
  </conditionalFormatting>
  <conditionalFormatting sqref="F1:F1048576">
    <cfRule type="cellIs" dxfId="1698" priority="27" stopIfTrue="1" operator="between">
      <formula>118</formula>
      <formula>120.99</formula>
    </cfRule>
    <cfRule type="cellIs" dxfId="1697" priority="28" stopIfTrue="1" operator="between">
      <formula>121</formula>
      <formula>123.99</formula>
    </cfRule>
    <cfRule type="cellIs" dxfId="1696" priority="29" stopIfTrue="1" operator="between">
      <formula>124</formula>
      <formula>126.99</formula>
    </cfRule>
    <cfRule type="cellIs" dxfId="1695" priority="30" stopIfTrue="1" operator="between">
      <formula>127</formula>
      <formula>129.99</formula>
    </cfRule>
    <cfRule type="cellIs" dxfId="1694" priority="31" stopIfTrue="1" operator="between">
      <formula>130</formula>
      <formula>9999.99</formula>
    </cfRule>
  </conditionalFormatting>
  <conditionalFormatting sqref="F1:F1048576">
    <cfRule type="cellIs" dxfId="1693" priority="26" stopIfTrue="1" operator="between">
      <formula>0</formula>
      <formula>117.99</formula>
    </cfRule>
  </conditionalFormatting>
  <conditionalFormatting sqref="A1:A1048576">
    <cfRule type="expression" dxfId="1692" priority="18" stopIfTrue="1">
      <formula>H1="CR"</formula>
    </cfRule>
    <cfRule type="expression" dxfId="1691" priority="19" stopIfTrue="1">
      <formula>H1="RR"</formula>
    </cfRule>
    <cfRule type="expression" dxfId="1690" priority="20" stopIfTrue="1">
      <formula>H1="FB"</formula>
    </cfRule>
    <cfRule type="expression" dxfId="1689" priority="21" stopIfTrue="1">
      <formula>H1="MTB"</formula>
    </cfRule>
  </conditionalFormatting>
  <conditionalFormatting sqref="H1:H1048576">
    <cfRule type="cellIs" dxfId="1688" priority="14" stopIfTrue="1" operator="equal">
      <formula>"CR"</formula>
    </cfRule>
    <cfRule type="cellIs" dxfId="1687" priority="15" stopIfTrue="1" operator="equal">
      <formula>"FB"</formula>
    </cfRule>
    <cfRule type="cellIs" dxfId="1686" priority="16" stopIfTrue="1" operator="equal">
      <formula>"RR"</formula>
    </cfRule>
    <cfRule type="cellIs" dxfId="1685" priority="17" stopIfTrue="1" operator="equal">
      <formula>"MTB"</formula>
    </cfRule>
  </conditionalFormatting>
  <conditionalFormatting sqref="C1:C1048576">
    <cfRule type="cellIs" dxfId="1684" priority="4" stopIfTrue="1" operator="between">
      <formula>0</formula>
      <formula>19.99</formula>
    </cfRule>
    <cfRule type="cellIs" dxfId="1683" priority="5" stopIfTrue="1" operator="between">
      <formula>20</formula>
      <formula>49.99</formula>
    </cfRule>
    <cfRule type="cellIs" dxfId="1682" priority="6" stopIfTrue="1" operator="between">
      <formula>50</formula>
      <formula>99.9999</formula>
    </cfRule>
    <cfRule type="cellIs" dxfId="1681" priority="7" stopIfTrue="1" operator="between">
      <formula>100</formula>
      <formula>9999</formula>
    </cfRule>
  </conditionalFormatting>
  <hyperlinks>
    <hyperlink ref="A1" r:id="rId1" tooltip="Normalstartpunkt für Touren ohne Anfahrt" xr:uid="{00000000-0004-0000-01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58">
        <f>AT35+AV35</f>
        <v>5378.7300000000005</v>
      </c>
      <c r="C1" s="358"/>
      <c r="D1" s="83" t="s">
        <v>238</v>
      </c>
      <c r="E1" s="359">
        <f>AT35</f>
        <v>4457.93</v>
      </c>
      <c r="F1" s="359"/>
      <c r="G1" s="360" t="s">
        <v>152</v>
      </c>
      <c r="H1" s="360"/>
      <c r="I1" s="356">
        <f>MAX(B36,F36,J36,N36,R36,V36,Z36,AD36,AH36,AL36,AP36,AT36)</f>
        <v>125.31</v>
      </c>
      <c r="J1" s="356"/>
      <c r="K1" s="361" t="s">
        <v>159</v>
      </c>
      <c r="L1" s="361"/>
      <c r="M1" s="362">
        <f>MAX(B34,F34,J34,N34,R34,V34,Z34,AD34,AH34,AL34,AP34,AT34)</f>
        <v>666.43000000000006</v>
      </c>
      <c r="N1" s="362"/>
      <c r="O1" s="355" t="s">
        <v>190</v>
      </c>
      <c r="P1" s="355"/>
      <c r="Q1" s="355"/>
      <c r="R1" s="149">
        <f>MIN(B34,F34,J34,N34,R34,V34,Z34,AD34,AH34,AL34,AP34,AT34)</f>
        <v>33.25</v>
      </c>
      <c r="S1" s="84" t="s">
        <v>207</v>
      </c>
      <c r="T1" s="368">
        <f>IFERROR(AVERAGE(B37,F37,J37,N37,R37,V37,Z37,AD37,AH37,AL37,AP37,AT37),0)</f>
        <v>21.826653316809644</v>
      </c>
      <c r="U1" s="368"/>
      <c r="V1" s="375" t="s">
        <v>328</v>
      </c>
      <c r="W1" s="375"/>
      <c r="X1" s="375"/>
      <c r="Y1" s="375"/>
      <c r="Z1" s="375"/>
      <c r="AA1" s="85" t="s">
        <v>207</v>
      </c>
      <c r="AB1" s="357">
        <f>IFERROR(AVERAGE(C37,G37,K37,O37,S37,W37,AA37,AE37,AI37,AM37,AQ37,AU37),0)</f>
        <v>180.7417338841891</v>
      </c>
      <c r="AC1" s="357"/>
      <c r="AD1" s="367" t="s">
        <v>190</v>
      </c>
      <c r="AE1" s="367"/>
      <c r="AF1" s="370">
        <f>MIN(C34,G34,K34,O34,S34,W34,AA34,AE34,AI34,AM34,AQ34,AU34)</f>
        <v>118</v>
      </c>
      <c r="AG1" s="370"/>
      <c r="AH1" s="371" t="s">
        <v>159</v>
      </c>
      <c r="AI1" s="371"/>
      <c r="AJ1" s="372">
        <f>MAX(C34,G34,K34,O34,S34,W34,AA34,AE34,AI34,AM34,AQ34,AU34)</f>
        <v>7846</v>
      </c>
      <c r="AK1" s="372"/>
      <c r="AL1" s="374" t="s">
        <v>153</v>
      </c>
      <c r="AM1" s="374"/>
      <c r="AN1" s="373">
        <f>MAX(C36,G36,K36,O36,S36,W36,AA36,AE36,AI36,AM36,AQ36,AU36)</f>
        <v>2170</v>
      </c>
      <c r="AO1" s="373"/>
      <c r="AP1" s="363" t="s">
        <v>361</v>
      </c>
      <c r="AQ1" s="363"/>
      <c r="AR1" s="364">
        <f>MAX(D36,H36,L36,P36,T36,X36,AB36,AF36,AJ36,AN36,AR36,AV36)</f>
        <v>9.0277777777777776E-2</v>
      </c>
      <c r="AS1" s="364"/>
      <c r="AT1" s="81" t="s">
        <v>2</v>
      </c>
      <c r="AU1" s="365">
        <f>AU35</f>
        <v>38191</v>
      </c>
      <c r="AV1" s="366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>
        <v>10.73</v>
      </c>
      <c r="C3" s="55">
        <v>25</v>
      </c>
      <c r="D3" s="150"/>
      <c r="E3" s="75">
        <v>1</v>
      </c>
      <c r="F3" s="54"/>
      <c r="G3" s="55"/>
      <c r="H3" s="150">
        <v>8.3333333333333329E-2</v>
      </c>
      <c r="I3" s="75">
        <v>1</v>
      </c>
      <c r="J3" s="54">
        <v>12.01</v>
      </c>
      <c r="K3" s="55">
        <v>100</v>
      </c>
      <c r="L3" s="150"/>
      <c r="M3" s="75">
        <v>1</v>
      </c>
      <c r="N3" s="54">
        <v>20.76</v>
      </c>
      <c r="O3" s="55">
        <v>10</v>
      </c>
      <c r="P3" s="150"/>
      <c r="Q3" s="75">
        <v>1</v>
      </c>
      <c r="R3" s="54"/>
      <c r="S3" s="55"/>
      <c r="T3" s="150"/>
      <c r="U3" s="75">
        <v>1</v>
      </c>
      <c r="V3" s="54"/>
      <c r="W3" s="55"/>
      <c r="X3" s="150"/>
      <c r="Y3" s="75">
        <v>1</v>
      </c>
      <c r="Z3" s="54"/>
      <c r="AA3" s="55"/>
      <c r="AB3" s="150"/>
      <c r="AC3" s="75">
        <v>1</v>
      </c>
      <c r="AD3" s="54">
        <v>17</v>
      </c>
      <c r="AE3" s="55">
        <v>45</v>
      </c>
      <c r="AF3" s="150"/>
      <c r="AG3" s="75">
        <v>1</v>
      </c>
      <c r="AH3" s="54">
        <v>16.2</v>
      </c>
      <c r="AI3" s="55">
        <v>182</v>
      </c>
      <c r="AJ3" s="150"/>
      <c r="AK3" s="75">
        <v>1</v>
      </c>
      <c r="AL3" s="54"/>
      <c r="AM3" s="55"/>
      <c r="AN3" s="150"/>
      <c r="AO3" s="75">
        <v>1</v>
      </c>
      <c r="AP3" s="54">
        <v>11</v>
      </c>
      <c r="AQ3" s="55">
        <v>5</v>
      </c>
      <c r="AR3" s="150">
        <v>4.1666666666666664E-2</v>
      </c>
      <c r="AS3" s="75">
        <v>1</v>
      </c>
      <c r="AT3" s="54"/>
      <c r="AU3" s="55"/>
      <c r="AV3" s="150"/>
      <c r="AW3" s="67"/>
    </row>
    <row r="4" spans="1:49" s="49" customFormat="1" ht="11.25" x14ac:dyDescent="0.2">
      <c r="A4" s="73">
        <f>A3+1</f>
        <v>2</v>
      </c>
      <c r="B4" s="54"/>
      <c r="C4" s="55"/>
      <c r="D4" s="150"/>
      <c r="E4" s="75">
        <f>E3+1</f>
        <v>2</v>
      </c>
      <c r="F4" s="54"/>
      <c r="G4" s="55"/>
      <c r="H4" s="150"/>
      <c r="I4" s="75">
        <f>I3+1</f>
        <v>2</v>
      </c>
      <c r="J4" s="54">
        <v>13</v>
      </c>
      <c r="K4" s="55">
        <v>346</v>
      </c>
      <c r="L4" s="150"/>
      <c r="M4" s="75">
        <f>M3+1</f>
        <v>2</v>
      </c>
      <c r="N4" s="54">
        <v>43.62</v>
      </c>
      <c r="O4" s="55">
        <v>475</v>
      </c>
      <c r="P4" s="150"/>
      <c r="Q4" s="75">
        <f>Q3+1</f>
        <v>2</v>
      </c>
      <c r="R4" s="54"/>
      <c r="S4" s="55"/>
      <c r="T4" s="150"/>
      <c r="U4" s="75">
        <f>U3+1</f>
        <v>2</v>
      </c>
      <c r="V4" s="54"/>
      <c r="W4" s="55"/>
      <c r="X4" s="150"/>
      <c r="Y4" s="75">
        <f>Y3+1</f>
        <v>2</v>
      </c>
      <c r="Z4" s="54"/>
      <c r="AA4" s="55"/>
      <c r="AB4" s="150"/>
      <c r="AC4" s="75">
        <f>AC3+1</f>
        <v>2</v>
      </c>
      <c r="AD4" s="54"/>
      <c r="AE4" s="55"/>
      <c r="AF4" s="150"/>
      <c r="AG4" s="75">
        <f>AG3+1</f>
        <v>2</v>
      </c>
      <c r="AH4" s="54">
        <v>10.4</v>
      </c>
      <c r="AI4" s="55">
        <v>15</v>
      </c>
      <c r="AJ4" s="150"/>
      <c r="AK4" s="75">
        <f>AK3+1</f>
        <v>2</v>
      </c>
      <c r="AL4" s="54"/>
      <c r="AM4" s="55"/>
      <c r="AN4" s="150"/>
      <c r="AO4" s="75">
        <f>AO3+1</f>
        <v>2</v>
      </c>
      <c r="AP4" s="54"/>
      <c r="AQ4" s="55"/>
      <c r="AR4" s="150"/>
      <c r="AS4" s="75">
        <f>AS3+1</f>
        <v>2</v>
      </c>
      <c r="AT4" s="54"/>
      <c r="AU4" s="55"/>
      <c r="AV4" s="150"/>
      <c r="AW4" s="67"/>
    </row>
    <row r="5" spans="1:49" s="49" customFormat="1" ht="11.25" x14ac:dyDescent="0.2">
      <c r="A5" s="73">
        <f t="shared" ref="A5:A33" si="0">A4+1</f>
        <v>3</v>
      </c>
      <c r="B5" s="54"/>
      <c r="C5" s="55"/>
      <c r="D5" s="150">
        <v>2.0833333333333332E-2</v>
      </c>
      <c r="E5" s="75">
        <f t="shared" ref="E5:E30" si="1">E4+1</f>
        <v>3</v>
      </c>
      <c r="F5" s="54"/>
      <c r="G5" s="55"/>
      <c r="H5" s="150"/>
      <c r="I5" s="75">
        <f t="shared" ref="I5:I33" si="2">I4+1</f>
        <v>3</v>
      </c>
      <c r="J5" s="54"/>
      <c r="K5" s="55"/>
      <c r="L5" s="150"/>
      <c r="M5" s="75">
        <f t="shared" ref="M5:M32" si="3">M4+1</f>
        <v>3</v>
      </c>
      <c r="N5" s="54">
        <v>35.07</v>
      </c>
      <c r="O5" s="55">
        <v>100</v>
      </c>
      <c r="P5" s="150"/>
      <c r="Q5" s="75">
        <f t="shared" ref="Q5:Q33" si="4">Q4+1</f>
        <v>3</v>
      </c>
      <c r="R5" s="54">
        <v>11.13</v>
      </c>
      <c r="S5" s="55">
        <v>2</v>
      </c>
      <c r="T5" s="150"/>
      <c r="U5" s="75">
        <f t="shared" ref="U5:U32" si="5">U4+1</f>
        <v>3</v>
      </c>
      <c r="V5" s="54">
        <v>25.82</v>
      </c>
      <c r="W5" s="55">
        <v>153</v>
      </c>
      <c r="X5" s="150"/>
      <c r="Y5" s="75">
        <f t="shared" ref="Y5:Y33" si="6">Y4+1</f>
        <v>3</v>
      </c>
      <c r="Z5" s="54">
        <v>16.850000000000001</v>
      </c>
      <c r="AA5" s="55">
        <v>536</v>
      </c>
      <c r="AB5" s="150"/>
      <c r="AC5" s="75">
        <f t="shared" ref="AC5:AC33" si="7">AC4+1</f>
        <v>3</v>
      </c>
      <c r="AD5" s="54"/>
      <c r="AE5" s="55"/>
      <c r="AF5" s="150"/>
      <c r="AG5" s="75">
        <f t="shared" ref="AG5:AG32" si="8">AG4+1</f>
        <v>3</v>
      </c>
      <c r="AH5" s="54">
        <v>22.5</v>
      </c>
      <c r="AI5" s="55">
        <v>110</v>
      </c>
      <c r="AJ5" s="150"/>
      <c r="AK5" s="75">
        <f t="shared" ref="AK5:AK33" si="9">AK4+1</f>
        <v>3</v>
      </c>
      <c r="AL5" s="54">
        <v>40.76</v>
      </c>
      <c r="AM5" s="55">
        <v>96</v>
      </c>
      <c r="AN5" s="150"/>
      <c r="AO5" s="75">
        <f t="shared" ref="AO5:AO32" si="10">AO4+1</f>
        <v>3</v>
      </c>
      <c r="AP5" s="54"/>
      <c r="AQ5" s="55"/>
      <c r="AR5" s="150"/>
      <c r="AS5" s="75">
        <f t="shared" ref="AS5:AS33" si="11">AS4+1</f>
        <v>3</v>
      </c>
      <c r="AT5" s="54"/>
      <c r="AU5" s="55"/>
      <c r="AV5" s="150">
        <v>2.0833333333333332E-2</v>
      </c>
      <c r="AW5" s="67"/>
    </row>
    <row r="6" spans="1:49" s="49" customFormat="1" ht="11.25" x14ac:dyDescent="0.2">
      <c r="A6" s="73">
        <f t="shared" si="0"/>
        <v>4</v>
      </c>
      <c r="B6" s="54">
        <v>9.5299999999999994</v>
      </c>
      <c r="C6" s="55">
        <v>30</v>
      </c>
      <c r="D6" s="150">
        <v>2.4305555555555556E-2</v>
      </c>
      <c r="E6" s="75">
        <f t="shared" si="1"/>
        <v>4</v>
      </c>
      <c r="F6" s="54">
        <v>10.78</v>
      </c>
      <c r="G6" s="55">
        <v>2</v>
      </c>
      <c r="H6" s="150"/>
      <c r="I6" s="75">
        <f t="shared" si="2"/>
        <v>4</v>
      </c>
      <c r="J6" s="54">
        <v>16.489999999999998</v>
      </c>
      <c r="K6" s="55">
        <v>70</v>
      </c>
      <c r="L6" s="150"/>
      <c r="M6" s="75">
        <f t="shared" si="3"/>
        <v>4</v>
      </c>
      <c r="N6" s="54">
        <v>48.09</v>
      </c>
      <c r="O6" s="55">
        <v>652</v>
      </c>
      <c r="P6" s="150">
        <v>2.0833333333333332E-2</v>
      </c>
      <c r="Q6" s="75">
        <f t="shared" si="4"/>
        <v>4</v>
      </c>
      <c r="R6" s="54">
        <v>15.92</v>
      </c>
      <c r="S6" s="55">
        <v>15</v>
      </c>
      <c r="T6" s="150"/>
      <c r="U6" s="75">
        <f t="shared" si="5"/>
        <v>4</v>
      </c>
      <c r="V6" s="54"/>
      <c r="W6" s="55"/>
      <c r="X6" s="150"/>
      <c r="Y6" s="75">
        <f t="shared" si="6"/>
        <v>4</v>
      </c>
      <c r="Z6" s="54">
        <v>49.36</v>
      </c>
      <c r="AA6" s="55">
        <v>611</v>
      </c>
      <c r="AB6" s="150"/>
      <c r="AC6" s="75">
        <f t="shared" si="7"/>
        <v>4</v>
      </c>
      <c r="AD6" s="54">
        <v>22.83</v>
      </c>
      <c r="AE6" s="55">
        <v>115</v>
      </c>
      <c r="AF6" s="150"/>
      <c r="AG6" s="75">
        <f t="shared" si="8"/>
        <v>4</v>
      </c>
      <c r="AH6" s="54">
        <v>48.13</v>
      </c>
      <c r="AI6" s="55">
        <v>771</v>
      </c>
      <c r="AJ6" s="150"/>
      <c r="AK6" s="75">
        <f t="shared" si="9"/>
        <v>4</v>
      </c>
      <c r="AL6" s="54">
        <v>25.66</v>
      </c>
      <c r="AM6" s="55">
        <v>25</v>
      </c>
      <c r="AN6" s="150"/>
      <c r="AO6" s="75">
        <f t="shared" si="10"/>
        <v>4</v>
      </c>
      <c r="AP6" s="54">
        <v>10</v>
      </c>
      <c r="AQ6" s="55">
        <v>5</v>
      </c>
      <c r="AR6" s="150"/>
      <c r="AS6" s="75">
        <f t="shared" si="11"/>
        <v>4</v>
      </c>
      <c r="AT6" s="54"/>
      <c r="AU6" s="55"/>
      <c r="AV6" s="150"/>
      <c r="AW6" s="67"/>
    </row>
    <row r="7" spans="1:49" s="49" customFormat="1" ht="11.25" x14ac:dyDescent="0.2">
      <c r="A7" s="73">
        <f t="shared" si="0"/>
        <v>5</v>
      </c>
      <c r="B7" s="54"/>
      <c r="C7" s="55"/>
      <c r="D7" s="150"/>
      <c r="E7" s="75">
        <f t="shared" si="1"/>
        <v>5</v>
      </c>
      <c r="F7" s="54"/>
      <c r="G7" s="55"/>
      <c r="H7" s="150"/>
      <c r="I7" s="75">
        <f t="shared" si="2"/>
        <v>5</v>
      </c>
      <c r="J7" s="54">
        <v>14.66</v>
      </c>
      <c r="K7" s="55">
        <v>153</v>
      </c>
      <c r="L7" s="150"/>
      <c r="M7" s="75">
        <f t="shared" si="3"/>
        <v>5</v>
      </c>
      <c r="N7" s="54">
        <v>43.64</v>
      </c>
      <c r="O7" s="55">
        <v>680</v>
      </c>
      <c r="P7" s="150"/>
      <c r="Q7" s="75">
        <f t="shared" si="4"/>
        <v>5</v>
      </c>
      <c r="R7" s="54">
        <v>30.1</v>
      </c>
      <c r="S7" s="55">
        <v>31</v>
      </c>
      <c r="T7" s="150"/>
      <c r="U7" s="75">
        <f t="shared" si="5"/>
        <v>5</v>
      </c>
      <c r="V7" s="54">
        <v>10.1</v>
      </c>
      <c r="W7" s="55">
        <v>306</v>
      </c>
      <c r="X7" s="150"/>
      <c r="Y7" s="75">
        <f t="shared" si="6"/>
        <v>5</v>
      </c>
      <c r="Z7" s="54"/>
      <c r="AA7" s="55"/>
      <c r="AB7" s="150"/>
      <c r="AC7" s="75">
        <f t="shared" si="7"/>
        <v>5</v>
      </c>
      <c r="AD7" s="54"/>
      <c r="AE7" s="55"/>
      <c r="AF7" s="150"/>
      <c r="AG7" s="75">
        <f t="shared" si="8"/>
        <v>5</v>
      </c>
      <c r="AH7" s="54">
        <v>33.590000000000003</v>
      </c>
      <c r="AI7" s="55">
        <v>465</v>
      </c>
      <c r="AJ7" s="150"/>
      <c r="AK7" s="75">
        <f t="shared" si="9"/>
        <v>5</v>
      </c>
      <c r="AL7" s="54"/>
      <c r="AM7" s="55"/>
      <c r="AN7" s="150"/>
      <c r="AO7" s="75">
        <f t="shared" si="10"/>
        <v>5</v>
      </c>
      <c r="AP7" s="54"/>
      <c r="AQ7" s="55"/>
      <c r="AR7" s="150"/>
      <c r="AS7" s="75">
        <f t="shared" si="11"/>
        <v>5</v>
      </c>
      <c r="AT7" s="54"/>
      <c r="AU7" s="55"/>
      <c r="AV7" s="150"/>
      <c r="AW7" s="67"/>
    </row>
    <row r="8" spans="1:49" s="49" customFormat="1" ht="11.25" x14ac:dyDescent="0.2">
      <c r="A8" s="73">
        <f t="shared" si="0"/>
        <v>6</v>
      </c>
      <c r="B8" s="54">
        <v>11.95</v>
      </c>
      <c r="C8" s="55">
        <v>315</v>
      </c>
      <c r="D8" s="150">
        <v>6.9444444444444434E-2</v>
      </c>
      <c r="E8" s="75">
        <f t="shared" si="1"/>
        <v>6</v>
      </c>
      <c r="F8" s="54">
        <v>25.35</v>
      </c>
      <c r="G8" s="55">
        <v>25</v>
      </c>
      <c r="H8" s="150">
        <v>4.1666666666666664E-2</v>
      </c>
      <c r="I8" s="75">
        <f t="shared" si="2"/>
        <v>6</v>
      </c>
      <c r="J8" s="54"/>
      <c r="K8" s="55"/>
      <c r="L8" s="150">
        <v>4.5138888888888888E-2</v>
      </c>
      <c r="M8" s="75">
        <f t="shared" si="3"/>
        <v>6</v>
      </c>
      <c r="N8" s="54">
        <v>20.66</v>
      </c>
      <c r="O8" s="55">
        <v>91</v>
      </c>
      <c r="P8" s="150"/>
      <c r="Q8" s="75">
        <f t="shared" si="4"/>
        <v>6</v>
      </c>
      <c r="R8" s="54"/>
      <c r="S8" s="55"/>
      <c r="T8" s="150"/>
      <c r="U8" s="75">
        <f t="shared" si="5"/>
        <v>6</v>
      </c>
      <c r="V8" s="54">
        <v>16.850000000000001</v>
      </c>
      <c r="W8" s="55">
        <v>536</v>
      </c>
      <c r="X8" s="150"/>
      <c r="Y8" s="75">
        <f t="shared" si="6"/>
        <v>6</v>
      </c>
      <c r="Z8" s="54">
        <v>20.21</v>
      </c>
      <c r="AA8" s="55">
        <v>15</v>
      </c>
      <c r="AB8" s="150"/>
      <c r="AC8" s="75">
        <f t="shared" si="7"/>
        <v>6</v>
      </c>
      <c r="AD8" s="54">
        <v>19.399999999999999</v>
      </c>
      <c r="AE8" s="55">
        <v>40</v>
      </c>
      <c r="AF8" s="150"/>
      <c r="AG8" s="75">
        <f t="shared" si="8"/>
        <v>6</v>
      </c>
      <c r="AH8" s="54"/>
      <c r="AI8" s="55"/>
      <c r="AJ8" s="150"/>
      <c r="AK8" s="75">
        <f t="shared" si="9"/>
        <v>6</v>
      </c>
      <c r="AL8" s="54">
        <v>24.97</v>
      </c>
      <c r="AM8" s="55">
        <v>285</v>
      </c>
      <c r="AN8" s="150"/>
      <c r="AO8" s="75">
        <f t="shared" si="10"/>
        <v>6</v>
      </c>
      <c r="AP8" s="54"/>
      <c r="AQ8" s="55"/>
      <c r="AR8" s="150">
        <v>4.1666666666666664E-2</v>
      </c>
      <c r="AS8" s="75">
        <f t="shared" si="11"/>
        <v>6</v>
      </c>
      <c r="AT8" s="54"/>
      <c r="AU8" s="55"/>
      <c r="AV8" s="150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50"/>
      <c r="E9" s="75">
        <f t="shared" si="1"/>
        <v>7</v>
      </c>
      <c r="F9" s="54">
        <v>35</v>
      </c>
      <c r="G9" s="55">
        <v>435</v>
      </c>
      <c r="H9" s="150"/>
      <c r="I9" s="75">
        <f t="shared" si="2"/>
        <v>7</v>
      </c>
      <c r="J9" s="54">
        <v>50.5</v>
      </c>
      <c r="K9" s="55">
        <v>219</v>
      </c>
      <c r="L9" s="150">
        <v>4.1666666666666664E-2</v>
      </c>
      <c r="M9" s="75">
        <f t="shared" si="3"/>
        <v>7</v>
      </c>
      <c r="N9" s="54">
        <v>22.49</v>
      </c>
      <c r="O9" s="55">
        <v>172</v>
      </c>
      <c r="P9" s="150"/>
      <c r="Q9" s="75">
        <f t="shared" si="4"/>
        <v>7</v>
      </c>
      <c r="R9" s="54">
        <v>13.27</v>
      </c>
      <c r="S9" s="55">
        <v>46</v>
      </c>
      <c r="T9" s="150"/>
      <c r="U9" s="75">
        <f t="shared" si="5"/>
        <v>7</v>
      </c>
      <c r="V9" s="54">
        <v>16.850000000000001</v>
      </c>
      <c r="W9" s="55">
        <v>536</v>
      </c>
      <c r="X9" s="150"/>
      <c r="Y9" s="75">
        <f t="shared" si="6"/>
        <v>7</v>
      </c>
      <c r="Z9" s="54"/>
      <c r="AA9" s="55"/>
      <c r="AB9" s="150"/>
      <c r="AC9" s="75">
        <f t="shared" si="7"/>
        <v>7</v>
      </c>
      <c r="AD9" s="54">
        <v>12</v>
      </c>
      <c r="AE9" s="55">
        <v>2</v>
      </c>
      <c r="AF9" s="150"/>
      <c r="AG9" s="75">
        <f t="shared" si="8"/>
        <v>7</v>
      </c>
      <c r="AH9" s="54"/>
      <c r="AI9" s="55"/>
      <c r="AJ9" s="150"/>
      <c r="AK9" s="75">
        <f t="shared" si="9"/>
        <v>7</v>
      </c>
      <c r="AL9" s="54"/>
      <c r="AM9" s="55"/>
      <c r="AN9" s="150"/>
      <c r="AO9" s="75">
        <f t="shared" si="10"/>
        <v>7</v>
      </c>
      <c r="AP9" s="54">
        <v>11</v>
      </c>
      <c r="AQ9" s="55">
        <v>5</v>
      </c>
      <c r="AR9" s="150"/>
      <c r="AS9" s="75">
        <f t="shared" si="11"/>
        <v>7</v>
      </c>
      <c r="AT9" s="54"/>
      <c r="AU9" s="55"/>
      <c r="AV9" s="150">
        <v>3.125E-2</v>
      </c>
      <c r="AW9" s="67"/>
    </row>
    <row r="10" spans="1:49" s="49" customFormat="1" ht="11.25" x14ac:dyDescent="0.2">
      <c r="A10" s="73">
        <f t="shared" si="0"/>
        <v>8</v>
      </c>
      <c r="B10" s="54">
        <v>16.71</v>
      </c>
      <c r="C10" s="55">
        <v>100</v>
      </c>
      <c r="D10" s="150"/>
      <c r="E10" s="75">
        <f t="shared" si="1"/>
        <v>8</v>
      </c>
      <c r="F10" s="54">
        <v>16.28</v>
      </c>
      <c r="G10" s="55">
        <v>36</v>
      </c>
      <c r="H10" s="150"/>
      <c r="I10" s="75">
        <f t="shared" si="2"/>
        <v>8</v>
      </c>
      <c r="J10" s="54">
        <v>15.38</v>
      </c>
      <c r="K10" s="55">
        <v>40</v>
      </c>
      <c r="L10" s="150"/>
      <c r="M10" s="75">
        <f t="shared" si="3"/>
        <v>8</v>
      </c>
      <c r="N10" s="54">
        <v>9.41</v>
      </c>
      <c r="O10" s="55">
        <v>119</v>
      </c>
      <c r="P10" s="150"/>
      <c r="Q10" s="75">
        <f t="shared" si="4"/>
        <v>8</v>
      </c>
      <c r="R10" s="54">
        <v>8.61</v>
      </c>
      <c r="S10" s="55">
        <v>20</v>
      </c>
      <c r="T10" s="150"/>
      <c r="U10" s="75">
        <f t="shared" si="5"/>
        <v>8</v>
      </c>
      <c r="V10" s="54">
        <v>24.68</v>
      </c>
      <c r="W10" s="55">
        <v>20</v>
      </c>
      <c r="X10" s="150"/>
      <c r="Y10" s="75">
        <f t="shared" si="6"/>
        <v>8</v>
      </c>
      <c r="Z10" s="54">
        <v>10.33</v>
      </c>
      <c r="AA10" s="55">
        <v>15</v>
      </c>
      <c r="AB10" s="150"/>
      <c r="AC10" s="75">
        <f t="shared" si="7"/>
        <v>8</v>
      </c>
      <c r="AD10" s="54">
        <v>14</v>
      </c>
      <c r="AE10" s="55">
        <v>2</v>
      </c>
      <c r="AF10" s="150"/>
      <c r="AG10" s="75">
        <f t="shared" si="8"/>
        <v>8</v>
      </c>
      <c r="AJ10" s="150"/>
      <c r="AK10" s="75">
        <f t="shared" si="9"/>
        <v>8</v>
      </c>
      <c r="AL10" s="54">
        <v>11.27</v>
      </c>
      <c r="AM10" s="55">
        <v>292</v>
      </c>
      <c r="AN10" s="150"/>
      <c r="AO10" s="75">
        <f t="shared" si="10"/>
        <v>8</v>
      </c>
      <c r="AP10" s="54">
        <v>15.86</v>
      </c>
      <c r="AQ10" s="55">
        <v>30</v>
      </c>
      <c r="AR10" s="150"/>
      <c r="AS10" s="75">
        <f t="shared" si="11"/>
        <v>8</v>
      </c>
      <c r="AT10" s="54">
        <v>5.89</v>
      </c>
      <c r="AU10" s="55">
        <v>35</v>
      </c>
      <c r="AV10" s="150">
        <v>4.8611111111111112E-2</v>
      </c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50">
        <v>2.0833333333333332E-2</v>
      </c>
      <c r="E11" s="75">
        <f t="shared" si="1"/>
        <v>9</v>
      </c>
      <c r="F11" s="54">
        <v>13.16</v>
      </c>
      <c r="G11" s="55">
        <v>35</v>
      </c>
      <c r="H11" s="150">
        <v>4.1666666666666664E-2</v>
      </c>
      <c r="I11" s="75">
        <f t="shared" si="2"/>
        <v>9</v>
      </c>
      <c r="J11" s="54"/>
      <c r="K11" s="55"/>
      <c r="L11" s="150"/>
      <c r="M11" s="75">
        <f t="shared" si="3"/>
        <v>9</v>
      </c>
      <c r="N11" s="54">
        <v>19.670000000000002</v>
      </c>
      <c r="O11" s="55">
        <v>357</v>
      </c>
      <c r="P11" s="150"/>
      <c r="Q11" s="75">
        <f t="shared" si="4"/>
        <v>9</v>
      </c>
      <c r="R11" s="54">
        <v>9.07</v>
      </c>
      <c r="S11" s="55">
        <v>2</v>
      </c>
      <c r="T11" s="150"/>
      <c r="U11" s="75">
        <f t="shared" si="5"/>
        <v>9</v>
      </c>
      <c r="V11" s="54">
        <v>20.46</v>
      </c>
      <c r="W11" s="55">
        <v>10</v>
      </c>
      <c r="X11" s="150"/>
      <c r="Y11" s="75">
        <f t="shared" si="6"/>
        <v>9</v>
      </c>
      <c r="Z11" s="54">
        <v>19.399999999999999</v>
      </c>
      <c r="AA11" s="55">
        <v>15</v>
      </c>
      <c r="AB11" s="150"/>
      <c r="AC11" s="75">
        <f t="shared" si="7"/>
        <v>9</v>
      </c>
      <c r="AD11" s="54">
        <v>36.03</v>
      </c>
      <c r="AE11" s="55">
        <v>30</v>
      </c>
      <c r="AF11" s="150"/>
      <c r="AG11" s="75">
        <f t="shared" si="8"/>
        <v>9</v>
      </c>
      <c r="AH11" s="54">
        <v>11.31</v>
      </c>
      <c r="AI11" s="55">
        <v>25</v>
      </c>
      <c r="AJ11" s="150"/>
      <c r="AK11" s="75">
        <f t="shared" si="9"/>
        <v>9</v>
      </c>
      <c r="AL11" s="54">
        <v>25.66</v>
      </c>
      <c r="AM11" s="55">
        <v>25</v>
      </c>
      <c r="AN11" s="150"/>
      <c r="AO11" s="75">
        <f t="shared" si="10"/>
        <v>9</v>
      </c>
      <c r="AP11" s="54">
        <v>13.4</v>
      </c>
      <c r="AQ11" s="55">
        <v>40</v>
      </c>
      <c r="AR11" s="150"/>
      <c r="AS11" s="75">
        <f t="shared" si="11"/>
        <v>9</v>
      </c>
      <c r="AT11" s="54"/>
      <c r="AU11" s="55"/>
      <c r="AV11" s="150"/>
      <c r="AW11" s="67"/>
    </row>
    <row r="12" spans="1:49" s="49" customFormat="1" ht="11.25" x14ac:dyDescent="0.2">
      <c r="A12" s="73">
        <f t="shared" si="0"/>
        <v>10</v>
      </c>
      <c r="B12" s="54"/>
      <c r="C12" s="55"/>
      <c r="D12" s="150"/>
      <c r="E12" s="75">
        <f t="shared" si="1"/>
        <v>10</v>
      </c>
      <c r="F12" s="54"/>
      <c r="G12" s="55"/>
      <c r="H12" s="150">
        <v>2.0833333333333332E-2</v>
      </c>
      <c r="I12" s="75">
        <f t="shared" si="2"/>
        <v>10</v>
      </c>
      <c r="J12" s="54">
        <v>16.149999999999999</v>
      </c>
      <c r="K12" s="55">
        <v>40</v>
      </c>
      <c r="L12" s="150"/>
      <c r="M12" s="75">
        <f t="shared" si="3"/>
        <v>10</v>
      </c>
      <c r="N12" s="54">
        <v>40</v>
      </c>
      <c r="O12" s="55">
        <v>658</v>
      </c>
      <c r="P12" s="150"/>
      <c r="Q12" s="75">
        <f t="shared" si="4"/>
        <v>10</v>
      </c>
      <c r="R12" s="54"/>
      <c r="S12" s="55"/>
      <c r="T12" s="150"/>
      <c r="U12" s="75">
        <f t="shared" si="5"/>
        <v>10</v>
      </c>
      <c r="V12" s="54">
        <v>32.49</v>
      </c>
      <c r="W12" s="55">
        <v>500</v>
      </c>
      <c r="X12" s="150"/>
      <c r="Y12" s="75">
        <f t="shared" si="6"/>
        <v>10</v>
      </c>
      <c r="Z12" s="54">
        <v>107.27</v>
      </c>
      <c r="AA12" s="55">
        <v>1755</v>
      </c>
      <c r="AB12" s="150"/>
      <c r="AC12" s="75">
        <f t="shared" si="7"/>
        <v>10</v>
      </c>
      <c r="AD12" s="54">
        <v>24.48</v>
      </c>
      <c r="AE12" s="55">
        <v>435</v>
      </c>
      <c r="AF12" s="150"/>
      <c r="AG12" s="75">
        <f t="shared" si="8"/>
        <v>10</v>
      </c>
      <c r="AH12" s="49">
        <v>45.92</v>
      </c>
      <c r="AI12" s="49">
        <v>920</v>
      </c>
      <c r="AJ12" s="150"/>
      <c r="AK12" s="75">
        <f t="shared" si="9"/>
        <v>10</v>
      </c>
      <c r="AL12" s="54">
        <v>31.45</v>
      </c>
      <c r="AM12" s="55">
        <v>420</v>
      </c>
      <c r="AN12" s="150"/>
      <c r="AO12" s="75">
        <f t="shared" si="10"/>
        <v>10</v>
      </c>
      <c r="AP12" s="54">
        <v>20.2</v>
      </c>
      <c r="AQ12" s="55">
        <v>30</v>
      </c>
      <c r="AR12" s="150"/>
      <c r="AS12" s="75">
        <f t="shared" si="11"/>
        <v>10</v>
      </c>
      <c r="AT12" s="54"/>
      <c r="AU12" s="55"/>
      <c r="AV12" s="150"/>
      <c r="AW12" s="67"/>
    </row>
    <row r="13" spans="1:49" s="49" customFormat="1" ht="11.25" x14ac:dyDescent="0.2">
      <c r="A13" s="73">
        <f t="shared" si="0"/>
        <v>11</v>
      </c>
      <c r="B13" s="54"/>
      <c r="C13" s="55"/>
      <c r="D13" s="150"/>
      <c r="E13" s="75">
        <f t="shared" si="1"/>
        <v>11</v>
      </c>
      <c r="F13" s="54"/>
      <c r="G13" s="55"/>
      <c r="H13" s="150"/>
      <c r="I13" s="75">
        <f t="shared" si="2"/>
        <v>11</v>
      </c>
      <c r="J13" s="54">
        <v>16.760000000000002</v>
      </c>
      <c r="K13" s="55">
        <v>30</v>
      </c>
      <c r="L13" s="150"/>
      <c r="M13" s="75">
        <f t="shared" si="3"/>
        <v>11</v>
      </c>
      <c r="N13" s="54"/>
      <c r="O13" s="55"/>
      <c r="P13" s="150"/>
      <c r="Q13" s="75">
        <f t="shared" si="4"/>
        <v>11</v>
      </c>
      <c r="R13" s="54">
        <v>17.010000000000002</v>
      </c>
      <c r="S13" s="55">
        <v>50</v>
      </c>
      <c r="T13" s="150"/>
      <c r="U13" s="75">
        <f t="shared" si="5"/>
        <v>11</v>
      </c>
      <c r="V13" s="54">
        <v>20.48</v>
      </c>
      <c r="W13" s="55">
        <v>10</v>
      </c>
      <c r="X13" s="150"/>
      <c r="Y13" s="75">
        <f t="shared" si="6"/>
        <v>11</v>
      </c>
      <c r="Z13" s="54"/>
      <c r="AA13" s="55"/>
      <c r="AB13" s="150"/>
      <c r="AC13" s="75">
        <f t="shared" si="7"/>
        <v>11</v>
      </c>
      <c r="AD13" s="54"/>
      <c r="AE13" s="55"/>
      <c r="AF13" s="150"/>
      <c r="AG13" s="75">
        <f t="shared" si="8"/>
        <v>11</v>
      </c>
      <c r="AH13" s="54">
        <v>53.45</v>
      </c>
      <c r="AI13" s="55">
        <v>350</v>
      </c>
      <c r="AJ13" s="150"/>
      <c r="AK13" s="75">
        <f t="shared" si="9"/>
        <v>11</v>
      </c>
      <c r="AL13" s="54">
        <v>36.08</v>
      </c>
      <c r="AM13" s="55">
        <v>300</v>
      </c>
      <c r="AN13" s="150"/>
      <c r="AO13" s="75">
        <f t="shared" si="10"/>
        <v>11</v>
      </c>
      <c r="AP13" s="54">
        <v>13</v>
      </c>
      <c r="AQ13" s="55">
        <v>20</v>
      </c>
      <c r="AR13" s="150"/>
      <c r="AS13" s="75">
        <f t="shared" si="11"/>
        <v>11</v>
      </c>
      <c r="AT13" s="54"/>
      <c r="AU13" s="55"/>
      <c r="AV13" s="150">
        <v>4.1666666666666664E-2</v>
      </c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50">
        <v>2.7777777777777776E-2</v>
      </c>
      <c r="E14" s="75">
        <f t="shared" si="1"/>
        <v>12</v>
      </c>
      <c r="F14" s="54"/>
      <c r="G14" s="55"/>
      <c r="H14" s="150">
        <v>2.4305555555555556E-2</v>
      </c>
      <c r="I14" s="75">
        <f t="shared" si="2"/>
        <v>12</v>
      </c>
      <c r="J14" s="54"/>
      <c r="K14" s="55"/>
      <c r="L14" s="150"/>
      <c r="M14" s="75">
        <f t="shared" si="3"/>
        <v>12</v>
      </c>
      <c r="N14" s="54"/>
      <c r="O14" s="55"/>
      <c r="P14" s="150"/>
      <c r="Q14" s="75">
        <f t="shared" si="4"/>
        <v>12</v>
      </c>
      <c r="R14" s="54"/>
      <c r="S14" s="55"/>
      <c r="T14" s="150"/>
      <c r="U14" s="75">
        <f t="shared" si="5"/>
        <v>12</v>
      </c>
      <c r="V14" s="54"/>
      <c r="W14" s="55"/>
      <c r="X14" s="150"/>
      <c r="Y14" s="75">
        <f t="shared" si="6"/>
        <v>12</v>
      </c>
      <c r="Z14" s="54"/>
      <c r="AA14" s="55"/>
      <c r="AB14" s="150"/>
      <c r="AC14" s="75">
        <f t="shared" si="7"/>
        <v>12</v>
      </c>
      <c r="AF14" s="150"/>
      <c r="AG14" s="75">
        <f t="shared" si="8"/>
        <v>12</v>
      </c>
      <c r="AH14" s="54">
        <v>18.899999999999999</v>
      </c>
      <c r="AI14" s="55">
        <v>138</v>
      </c>
      <c r="AJ14" s="150"/>
      <c r="AK14" s="75">
        <f t="shared" si="9"/>
        <v>12</v>
      </c>
      <c r="AL14" s="54"/>
      <c r="AM14" s="55"/>
      <c r="AN14" s="150"/>
      <c r="AO14" s="75">
        <f t="shared" si="10"/>
        <v>12</v>
      </c>
      <c r="AP14" s="54">
        <v>11.53</v>
      </c>
      <c r="AQ14" s="55">
        <v>30</v>
      </c>
      <c r="AR14" s="150"/>
      <c r="AS14" s="75">
        <f t="shared" si="11"/>
        <v>12</v>
      </c>
      <c r="AT14" s="54">
        <v>14</v>
      </c>
      <c r="AU14" s="55">
        <v>2</v>
      </c>
      <c r="AV14" s="150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50"/>
      <c r="E15" s="75">
        <f t="shared" si="1"/>
        <v>13</v>
      </c>
      <c r="F15" s="54"/>
      <c r="G15" s="55"/>
      <c r="H15" s="150">
        <v>4.1666666666666664E-2</v>
      </c>
      <c r="I15" s="75">
        <f t="shared" si="2"/>
        <v>13</v>
      </c>
      <c r="J15" s="54"/>
      <c r="K15" s="55"/>
      <c r="L15" s="150"/>
      <c r="M15" s="75">
        <f t="shared" si="3"/>
        <v>13</v>
      </c>
      <c r="N15" s="54"/>
      <c r="O15" s="55"/>
      <c r="P15" s="150"/>
      <c r="Q15" s="75">
        <f t="shared" si="4"/>
        <v>13</v>
      </c>
      <c r="R15" s="54">
        <v>11.4</v>
      </c>
      <c r="S15" s="55">
        <v>40</v>
      </c>
      <c r="T15" s="150"/>
      <c r="U15" s="75">
        <f t="shared" si="5"/>
        <v>13</v>
      </c>
      <c r="V15" s="54"/>
      <c r="W15" s="55"/>
      <c r="X15" s="150"/>
      <c r="Y15" s="75">
        <f t="shared" si="6"/>
        <v>13</v>
      </c>
      <c r="Z15" s="54">
        <v>38.32</v>
      </c>
      <c r="AA15" s="55">
        <v>50</v>
      </c>
      <c r="AB15" s="150"/>
      <c r="AC15" s="75">
        <f t="shared" si="7"/>
        <v>13</v>
      </c>
      <c r="AD15" s="54">
        <v>29.96</v>
      </c>
      <c r="AE15" s="55">
        <v>173</v>
      </c>
      <c r="AF15" s="150"/>
      <c r="AG15" s="75">
        <f t="shared" si="8"/>
        <v>13</v>
      </c>
      <c r="AH15" s="54">
        <v>19.690000000000001</v>
      </c>
      <c r="AI15" s="55">
        <v>90</v>
      </c>
      <c r="AJ15" s="150"/>
      <c r="AK15" s="75">
        <f t="shared" si="9"/>
        <v>13</v>
      </c>
      <c r="AL15" s="54"/>
      <c r="AM15" s="55"/>
      <c r="AN15" s="150"/>
      <c r="AO15" s="75">
        <f t="shared" si="10"/>
        <v>13</v>
      </c>
      <c r="AP15" s="54">
        <v>10.6</v>
      </c>
      <c r="AQ15" s="55">
        <v>310</v>
      </c>
      <c r="AR15" s="150"/>
      <c r="AS15" s="75">
        <f t="shared" si="11"/>
        <v>13</v>
      </c>
      <c r="AT15" s="54">
        <v>13.36</v>
      </c>
      <c r="AU15" s="55">
        <v>81</v>
      </c>
      <c r="AV15" s="150"/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50"/>
      <c r="E16" s="75">
        <f t="shared" si="1"/>
        <v>14</v>
      </c>
      <c r="F16" s="54"/>
      <c r="G16" s="55"/>
      <c r="H16" s="150"/>
      <c r="I16" s="75">
        <f t="shared" si="2"/>
        <v>14</v>
      </c>
      <c r="J16" s="54"/>
      <c r="K16" s="55"/>
      <c r="L16" s="150"/>
      <c r="M16" s="75">
        <f t="shared" si="3"/>
        <v>14</v>
      </c>
      <c r="N16" s="54">
        <v>16.260000000000002</v>
      </c>
      <c r="O16" s="55">
        <v>20</v>
      </c>
      <c r="P16" s="150"/>
      <c r="Q16" s="75">
        <f t="shared" si="4"/>
        <v>14</v>
      </c>
      <c r="T16" s="150"/>
      <c r="U16" s="75">
        <f t="shared" si="5"/>
        <v>14</v>
      </c>
      <c r="V16" s="54">
        <v>34.57</v>
      </c>
      <c r="W16" s="55">
        <v>80</v>
      </c>
      <c r="X16" s="150"/>
      <c r="Y16" s="75">
        <f t="shared" si="6"/>
        <v>14</v>
      </c>
      <c r="Z16" s="54"/>
      <c r="AA16" s="55"/>
      <c r="AB16" s="150"/>
      <c r="AC16" s="75">
        <f t="shared" si="7"/>
        <v>14</v>
      </c>
      <c r="AD16" s="54"/>
      <c r="AE16" s="55"/>
      <c r="AF16" s="150"/>
      <c r="AG16" s="75">
        <f t="shared" si="8"/>
        <v>14</v>
      </c>
      <c r="AH16" s="54"/>
      <c r="AI16" s="55"/>
      <c r="AJ16" s="150"/>
      <c r="AK16" s="75">
        <f t="shared" si="9"/>
        <v>14</v>
      </c>
      <c r="AL16" s="54"/>
      <c r="AM16" s="55"/>
      <c r="AN16" s="150"/>
      <c r="AO16" s="75">
        <f t="shared" si="10"/>
        <v>14</v>
      </c>
      <c r="AP16" s="54">
        <v>15.6</v>
      </c>
      <c r="AQ16" s="55">
        <v>40</v>
      </c>
      <c r="AR16" s="150"/>
      <c r="AS16" s="75">
        <f t="shared" si="11"/>
        <v>14</v>
      </c>
      <c r="AT16" s="54"/>
      <c r="AU16" s="55"/>
      <c r="AV16" s="150"/>
      <c r="AW16" s="67"/>
    </row>
    <row r="17" spans="1:49" s="49" customFormat="1" ht="11.25" x14ac:dyDescent="0.2">
      <c r="A17" s="73">
        <f t="shared" si="0"/>
        <v>15</v>
      </c>
      <c r="B17" s="54"/>
      <c r="C17" s="55"/>
      <c r="D17" s="150">
        <v>2.0833333333333332E-2</v>
      </c>
      <c r="E17" s="75">
        <f t="shared" si="1"/>
        <v>15</v>
      </c>
      <c r="F17" s="54">
        <v>30.36</v>
      </c>
      <c r="G17" s="55">
        <v>180</v>
      </c>
      <c r="H17" s="150">
        <v>5.2083333333333336E-2</v>
      </c>
      <c r="I17" s="75">
        <f t="shared" si="2"/>
        <v>15</v>
      </c>
      <c r="J17" s="54">
        <v>16.170000000000002</v>
      </c>
      <c r="K17" s="55">
        <v>10</v>
      </c>
      <c r="L17" s="150">
        <v>2.0833333333333332E-2</v>
      </c>
      <c r="M17" s="75">
        <f t="shared" si="3"/>
        <v>15</v>
      </c>
      <c r="N17" s="54">
        <v>21.78</v>
      </c>
      <c r="O17" s="55">
        <v>20</v>
      </c>
      <c r="P17" s="150"/>
      <c r="Q17" s="75">
        <f t="shared" si="4"/>
        <v>15</v>
      </c>
      <c r="T17" s="150"/>
      <c r="U17" s="75">
        <f t="shared" si="5"/>
        <v>15</v>
      </c>
      <c r="V17" s="54">
        <v>48.39</v>
      </c>
      <c r="W17" s="55">
        <v>100</v>
      </c>
      <c r="X17" s="150"/>
      <c r="Y17" s="75">
        <f t="shared" si="6"/>
        <v>15</v>
      </c>
      <c r="Z17" s="54"/>
      <c r="AA17" s="55"/>
      <c r="AB17" s="150"/>
      <c r="AC17" s="75">
        <f t="shared" si="7"/>
        <v>15</v>
      </c>
      <c r="AD17" s="54">
        <v>24.15</v>
      </c>
      <c r="AE17" s="55">
        <v>105</v>
      </c>
      <c r="AF17" s="150"/>
      <c r="AG17" s="75">
        <f t="shared" si="8"/>
        <v>15</v>
      </c>
      <c r="AH17" s="54">
        <v>16.7</v>
      </c>
      <c r="AI17" s="55">
        <v>80</v>
      </c>
      <c r="AJ17" s="150"/>
      <c r="AK17" s="75">
        <f t="shared" si="9"/>
        <v>15</v>
      </c>
      <c r="AL17" s="54">
        <v>21</v>
      </c>
      <c r="AM17" s="55">
        <v>132</v>
      </c>
      <c r="AN17" s="150"/>
      <c r="AO17" s="75">
        <f t="shared" si="10"/>
        <v>15</v>
      </c>
      <c r="AP17" s="54"/>
      <c r="AQ17" s="55"/>
      <c r="AR17" s="150"/>
      <c r="AS17" s="75">
        <f t="shared" si="11"/>
        <v>15</v>
      </c>
      <c r="AT17" s="54"/>
      <c r="AU17" s="55"/>
      <c r="AV17" s="150"/>
      <c r="AW17" s="67"/>
    </row>
    <row r="18" spans="1:49" s="49" customFormat="1" ht="11.25" x14ac:dyDescent="0.2">
      <c r="A18" s="73">
        <f t="shared" si="0"/>
        <v>16</v>
      </c>
      <c r="B18" s="54">
        <v>20.190000000000001</v>
      </c>
      <c r="C18" s="55">
        <v>120</v>
      </c>
      <c r="D18" s="150"/>
      <c r="E18" s="75">
        <f t="shared" si="1"/>
        <v>16</v>
      </c>
      <c r="F18" s="54">
        <v>10.11</v>
      </c>
      <c r="G18" s="55">
        <v>80</v>
      </c>
      <c r="H18" s="150">
        <v>4.1666666666666664E-2</v>
      </c>
      <c r="I18" s="75">
        <f t="shared" si="2"/>
        <v>16</v>
      </c>
      <c r="J18" s="54">
        <v>18.18</v>
      </c>
      <c r="K18" s="55">
        <v>20</v>
      </c>
      <c r="L18" s="150"/>
      <c r="M18" s="75">
        <f t="shared" si="3"/>
        <v>16</v>
      </c>
      <c r="N18" s="54">
        <v>28.27</v>
      </c>
      <c r="O18" s="55">
        <v>104</v>
      </c>
      <c r="P18" s="150"/>
      <c r="Q18" s="75">
        <f t="shared" si="4"/>
        <v>16</v>
      </c>
      <c r="R18" s="54">
        <v>34.17</v>
      </c>
      <c r="S18" s="55">
        <v>615</v>
      </c>
      <c r="T18" s="150"/>
      <c r="U18" s="75">
        <f t="shared" si="5"/>
        <v>16</v>
      </c>
      <c r="V18" s="54">
        <v>24.91</v>
      </c>
      <c r="W18" s="55">
        <v>578</v>
      </c>
      <c r="X18" s="150"/>
      <c r="Y18" s="75">
        <f t="shared" si="6"/>
        <v>16</v>
      </c>
      <c r="Z18" s="54"/>
      <c r="AA18" s="55"/>
      <c r="AB18" s="150"/>
      <c r="AC18" s="75">
        <f t="shared" si="7"/>
        <v>16</v>
      </c>
      <c r="AD18" s="54">
        <v>11.13</v>
      </c>
      <c r="AE18" s="55">
        <v>10</v>
      </c>
      <c r="AF18" s="150"/>
      <c r="AG18" s="75">
        <f t="shared" si="8"/>
        <v>16</v>
      </c>
      <c r="AH18" s="54"/>
      <c r="AI18" s="55"/>
      <c r="AJ18" s="150"/>
      <c r="AK18" s="75">
        <f t="shared" si="9"/>
        <v>16</v>
      </c>
      <c r="AL18" s="54"/>
      <c r="AM18" s="55"/>
      <c r="AN18" s="150"/>
      <c r="AO18" s="75">
        <f t="shared" si="10"/>
        <v>16</v>
      </c>
      <c r="AP18" s="54"/>
      <c r="AQ18" s="55"/>
      <c r="AR18" s="150"/>
      <c r="AS18" s="75">
        <f t="shared" si="11"/>
        <v>16</v>
      </c>
      <c r="AT18" s="54"/>
      <c r="AU18" s="55"/>
      <c r="AV18" s="150"/>
      <c r="AW18" s="67"/>
    </row>
    <row r="19" spans="1:49" s="49" customFormat="1" ht="11.25" x14ac:dyDescent="0.2">
      <c r="A19" s="73">
        <f t="shared" si="0"/>
        <v>17</v>
      </c>
      <c r="B19" s="54"/>
      <c r="C19" s="55"/>
      <c r="D19" s="150">
        <v>8.3333333333333329E-2</v>
      </c>
      <c r="E19" s="75">
        <f t="shared" si="1"/>
        <v>17</v>
      </c>
      <c r="F19" s="54"/>
      <c r="G19" s="55"/>
      <c r="H19" s="150"/>
      <c r="I19" s="75">
        <f t="shared" si="2"/>
        <v>17</v>
      </c>
      <c r="J19" s="54"/>
      <c r="K19" s="55"/>
      <c r="L19" s="150">
        <v>2.0833333333333332E-2</v>
      </c>
      <c r="M19" s="75">
        <f t="shared" si="3"/>
        <v>17</v>
      </c>
      <c r="N19" s="54">
        <v>45.12</v>
      </c>
      <c r="O19" s="55">
        <v>1456</v>
      </c>
      <c r="P19" s="150"/>
      <c r="Q19" s="75">
        <f t="shared" si="4"/>
        <v>17</v>
      </c>
      <c r="R19" s="54">
        <v>38.700000000000003</v>
      </c>
      <c r="S19" s="55">
        <v>440</v>
      </c>
      <c r="T19" s="150"/>
      <c r="U19" s="75">
        <f t="shared" si="5"/>
        <v>17</v>
      </c>
      <c r="V19" s="54"/>
      <c r="W19" s="55"/>
      <c r="X19" s="150"/>
      <c r="Y19" s="75">
        <f t="shared" si="6"/>
        <v>17</v>
      </c>
      <c r="Z19" s="54"/>
      <c r="AA19" s="55"/>
      <c r="AB19" s="150"/>
      <c r="AC19" s="75">
        <f t="shared" si="7"/>
        <v>17</v>
      </c>
      <c r="AD19" s="54">
        <v>23.24</v>
      </c>
      <c r="AE19" s="55">
        <v>50</v>
      </c>
      <c r="AF19" s="150"/>
      <c r="AG19" s="75">
        <f t="shared" si="8"/>
        <v>17</v>
      </c>
      <c r="AH19" s="54">
        <v>26.4</v>
      </c>
      <c r="AI19" s="55">
        <v>129</v>
      </c>
      <c r="AJ19" s="150"/>
      <c r="AK19" s="75">
        <f t="shared" si="9"/>
        <v>17</v>
      </c>
      <c r="AL19" s="54">
        <v>13.5</v>
      </c>
      <c r="AM19" s="55">
        <v>10</v>
      </c>
      <c r="AN19" s="150"/>
      <c r="AO19" s="75">
        <f t="shared" si="10"/>
        <v>17</v>
      </c>
      <c r="AP19" s="54">
        <v>11.7</v>
      </c>
      <c r="AQ19" s="55">
        <v>16</v>
      </c>
      <c r="AR19" s="150"/>
      <c r="AS19" s="75">
        <f t="shared" si="11"/>
        <v>17</v>
      </c>
      <c r="AT19" s="54"/>
      <c r="AU19" s="55"/>
      <c r="AV19" s="150">
        <v>2.4305555555555556E-2</v>
      </c>
      <c r="AW19" s="67"/>
    </row>
    <row r="20" spans="1:49" s="49" customFormat="1" ht="11.25" x14ac:dyDescent="0.2">
      <c r="A20" s="73">
        <f t="shared" si="0"/>
        <v>18</v>
      </c>
      <c r="B20" s="54">
        <v>17.95</v>
      </c>
      <c r="C20" s="55">
        <v>20</v>
      </c>
      <c r="D20" s="150"/>
      <c r="E20" s="75">
        <f t="shared" si="1"/>
        <v>18</v>
      </c>
      <c r="F20" s="54">
        <v>5.15</v>
      </c>
      <c r="G20" s="55">
        <v>25</v>
      </c>
      <c r="H20" s="150"/>
      <c r="I20" s="75">
        <f t="shared" si="2"/>
        <v>18</v>
      </c>
      <c r="J20" s="54">
        <v>21.38</v>
      </c>
      <c r="K20" s="55">
        <v>172</v>
      </c>
      <c r="L20" s="150"/>
      <c r="M20" s="75">
        <f t="shared" si="3"/>
        <v>18</v>
      </c>
      <c r="N20" s="54"/>
      <c r="O20" s="55"/>
      <c r="P20" s="150"/>
      <c r="Q20" s="75">
        <f t="shared" si="4"/>
        <v>18</v>
      </c>
      <c r="R20" s="54">
        <v>14.81</v>
      </c>
      <c r="S20" s="55">
        <v>10</v>
      </c>
      <c r="T20" s="150"/>
      <c r="U20" s="75">
        <f t="shared" si="5"/>
        <v>18</v>
      </c>
      <c r="V20" s="54"/>
      <c r="W20" s="55"/>
      <c r="X20" s="150">
        <v>4.1666666666666664E-2</v>
      </c>
      <c r="Y20" s="75">
        <f t="shared" si="6"/>
        <v>18</v>
      </c>
      <c r="Z20" s="54"/>
      <c r="AA20" s="55"/>
      <c r="AB20" s="150"/>
      <c r="AC20" s="75">
        <f t="shared" si="7"/>
        <v>18</v>
      </c>
      <c r="AD20" s="54">
        <v>22.7</v>
      </c>
      <c r="AE20" s="55">
        <v>55</v>
      </c>
      <c r="AF20" s="150"/>
      <c r="AG20" s="75">
        <f t="shared" si="8"/>
        <v>18</v>
      </c>
      <c r="AH20" s="54">
        <v>24.4</v>
      </c>
      <c r="AI20" s="55">
        <v>90</v>
      </c>
      <c r="AJ20" s="150"/>
      <c r="AK20" s="75">
        <f t="shared" si="9"/>
        <v>18</v>
      </c>
      <c r="AL20" s="54">
        <v>12.9</v>
      </c>
      <c r="AM20" s="55">
        <v>40</v>
      </c>
      <c r="AN20" s="150"/>
      <c r="AO20" s="75">
        <f t="shared" si="10"/>
        <v>18</v>
      </c>
      <c r="AP20" s="54"/>
      <c r="AQ20" s="55"/>
      <c r="AR20" s="150"/>
      <c r="AS20" s="75">
        <f t="shared" si="11"/>
        <v>18</v>
      </c>
      <c r="AT20" s="54"/>
      <c r="AU20" s="55"/>
      <c r="AV20" s="150">
        <v>4.1666666666666664E-2</v>
      </c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50"/>
      <c r="E21" s="75">
        <f t="shared" si="1"/>
        <v>19</v>
      </c>
      <c r="F21" s="54"/>
      <c r="G21" s="55"/>
      <c r="H21" s="150"/>
      <c r="I21" s="75">
        <f t="shared" si="2"/>
        <v>19</v>
      </c>
      <c r="J21" s="54"/>
      <c r="K21" s="55"/>
      <c r="L21" s="150"/>
      <c r="M21" s="75">
        <f t="shared" si="3"/>
        <v>19</v>
      </c>
      <c r="N21" s="54">
        <v>24.67</v>
      </c>
      <c r="O21" s="55">
        <v>150</v>
      </c>
      <c r="P21" s="150"/>
      <c r="Q21" s="75">
        <f t="shared" si="4"/>
        <v>19</v>
      </c>
      <c r="R21" s="54"/>
      <c r="S21" s="55"/>
      <c r="T21" s="150">
        <v>2.4305555555555556E-2</v>
      </c>
      <c r="U21" s="75">
        <f t="shared" si="5"/>
        <v>19</v>
      </c>
      <c r="V21" s="54">
        <v>22.83</v>
      </c>
      <c r="W21" s="55">
        <v>172</v>
      </c>
      <c r="X21" s="150"/>
      <c r="Y21" s="75">
        <f t="shared" si="6"/>
        <v>19</v>
      </c>
      <c r="Z21" s="54"/>
      <c r="AA21" s="55"/>
      <c r="AB21" s="150"/>
      <c r="AC21" s="75">
        <f t="shared" si="7"/>
        <v>19</v>
      </c>
      <c r="AD21" s="54">
        <v>24.99</v>
      </c>
      <c r="AE21" s="55">
        <v>336</v>
      </c>
      <c r="AF21" s="150"/>
      <c r="AG21" s="75">
        <f t="shared" si="8"/>
        <v>19</v>
      </c>
      <c r="AH21" s="54">
        <v>39.229999999999997</v>
      </c>
      <c r="AI21" s="55">
        <v>95</v>
      </c>
      <c r="AJ21" s="150"/>
      <c r="AK21" s="75">
        <f t="shared" si="9"/>
        <v>19</v>
      </c>
      <c r="AL21" s="54"/>
      <c r="AM21" s="55"/>
      <c r="AN21" s="150"/>
      <c r="AO21" s="75">
        <f t="shared" si="10"/>
        <v>19</v>
      </c>
      <c r="AP21" s="54"/>
      <c r="AQ21" s="55"/>
      <c r="AR21" s="150"/>
      <c r="AS21" s="75">
        <f t="shared" si="11"/>
        <v>19</v>
      </c>
      <c r="AT21" s="54"/>
      <c r="AU21" s="55"/>
      <c r="AV21" s="150"/>
      <c r="AW21" s="67"/>
    </row>
    <row r="22" spans="1:49" s="49" customFormat="1" ht="11.25" x14ac:dyDescent="0.2">
      <c r="A22" s="73">
        <f t="shared" si="0"/>
        <v>20</v>
      </c>
      <c r="B22" s="54">
        <v>16.39</v>
      </c>
      <c r="C22" s="55">
        <v>10</v>
      </c>
      <c r="D22" s="150"/>
      <c r="E22" s="75">
        <f t="shared" si="1"/>
        <v>20</v>
      </c>
      <c r="F22" s="54">
        <v>11.5</v>
      </c>
      <c r="G22" s="55">
        <v>153</v>
      </c>
      <c r="H22" s="150"/>
      <c r="I22" s="75">
        <f t="shared" si="2"/>
        <v>20</v>
      </c>
      <c r="J22" s="54">
        <v>19.8</v>
      </c>
      <c r="K22" s="55">
        <v>105</v>
      </c>
      <c r="L22" s="150"/>
      <c r="M22" s="75">
        <f t="shared" si="3"/>
        <v>20</v>
      </c>
      <c r="N22" s="54">
        <v>28.9</v>
      </c>
      <c r="O22" s="55">
        <v>30</v>
      </c>
      <c r="P22" s="150"/>
      <c r="Q22" s="75">
        <f t="shared" si="4"/>
        <v>20</v>
      </c>
      <c r="R22" s="54"/>
      <c r="S22" s="55"/>
      <c r="T22" s="150"/>
      <c r="U22" s="75">
        <f t="shared" si="5"/>
        <v>20</v>
      </c>
      <c r="V22" s="54">
        <v>18.05</v>
      </c>
      <c r="W22" s="55">
        <v>35</v>
      </c>
      <c r="X22" s="150"/>
      <c r="Y22" s="75">
        <f t="shared" si="6"/>
        <v>20</v>
      </c>
      <c r="Z22" s="54">
        <v>13.97</v>
      </c>
      <c r="AA22" s="55">
        <v>15</v>
      </c>
      <c r="AB22" s="150"/>
      <c r="AC22" s="75">
        <f t="shared" si="7"/>
        <v>20</v>
      </c>
      <c r="AD22" s="54">
        <v>16.059999999999999</v>
      </c>
      <c r="AE22" s="55">
        <v>70</v>
      </c>
      <c r="AF22" s="150"/>
      <c r="AG22" s="75">
        <f t="shared" si="8"/>
        <v>20</v>
      </c>
      <c r="AH22" s="54">
        <v>27.5</v>
      </c>
      <c r="AI22" s="55">
        <v>355</v>
      </c>
      <c r="AJ22" s="150"/>
      <c r="AK22" s="75">
        <f t="shared" si="9"/>
        <v>20</v>
      </c>
      <c r="AL22" s="54"/>
      <c r="AM22" s="55"/>
      <c r="AN22" s="150"/>
      <c r="AO22" s="75">
        <f t="shared" si="10"/>
        <v>20</v>
      </c>
      <c r="AP22" s="54">
        <v>27.06</v>
      </c>
      <c r="AQ22" s="55">
        <v>155</v>
      </c>
      <c r="AR22" s="150"/>
      <c r="AS22" s="75">
        <f t="shared" si="11"/>
        <v>20</v>
      </c>
      <c r="AT22" s="54"/>
      <c r="AU22" s="55"/>
      <c r="AV22" s="150">
        <v>4.1666666666666664E-2</v>
      </c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50"/>
      <c r="E23" s="75">
        <f t="shared" si="1"/>
        <v>21</v>
      </c>
      <c r="F23" s="54"/>
      <c r="G23" s="55"/>
      <c r="H23" s="150">
        <v>9.0277777777777776E-2</v>
      </c>
      <c r="I23" s="75">
        <f t="shared" si="2"/>
        <v>21</v>
      </c>
      <c r="J23" s="54">
        <v>24.83</v>
      </c>
      <c r="K23" s="55">
        <v>210</v>
      </c>
      <c r="L23" s="150"/>
      <c r="M23" s="75">
        <f t="shared" si="3"/>
        <v>21</v>
      </c>
      <c r="N23" s="54"/>
      <c r="O23" s="55"/>
      <c r="P23" s="150"/>
      <c r="Q23" s="75">
        <f t="shared" si="4"/>
        <v>21</v>
      </c>
      <c r="R23" s="54"/>
      <c r="S23" s="55"/>
      <c r="T23" s="150"/>
      <c r="U23" s="75">
        <f t="shared" si="5"/>
        <v>21</v>
      </c>
      <c r="V23" s="54">
        <v>29.59</v>
      </c>
      <c r="W23" s="55">
        <v>195</v>
      </c>
      <c r="X23" s="150"/>
      <c r="Y23" s="75">
        <f t="shared" si="6"/>
        <v>21</v>
      </c>
      <c r="Z23" s="54">
        <v>19.350000000000001</v>
      </c>
      <c r="AA23" s="55">
        <v>20</v>
      </c>
      <c r="AB23" s="150"/>
      <c r="AC23" s="75">
        <f t="shared" si="7"/>
        <v>21</v>
      </c>
      <c r="AD23" s="54"/>
      <c r="AE23" s="55"/>
      <c r="AF23" s="150"/>
      <c r="AG23" s="75">
        <f t="shared" si="8"/>
        <v>21</v>
      </c>
      <c r="AH23" s="54">
        <v>12.5</v>
      </c>
      <c r="AI23" s="55">
        <v>15</v>
      </c>
      <c r="AJ23" s="150"/>
      <c r="AK23" s="75">
        <f t="shared" si="9"/>
        <v>21</v>
      </c>
      <c r="AL23" s="54"/>
      <c r="AM23" s="55"/>
      <c r="AN23" s="150"/>
      <c r="AO23" s="75">
        <f t="shared" si="10"/>
        <v>21</v>
      </c>
      <c r="AP23" s="54">
        <v>16</v>
      </c>
      <c r="AQ23" s="55">
        <v>180</v>
      </c>
      <c r="AR23" s="150"/>
      <c r="AS23" s="75">
        <f t="shared" si="11"/>
        <v>21</v>
      </c>
      <c r="AT23" s="54"/>
      <c r="AU23" s="55"/>
      <c r="AV23" s="150"/>
      <c r="AW23" s="67"/>
    </row>
    <row r="24" spans="1:49" s="49" customFormat="1" ht="11.25" x14ac:dyDescent="0.2">
      <c r="A24" s="73">
        <f t="shared" si="0"/>
        <v>22</v>
      </c>
      <c r="B24" s="54"/>
      <c r="C24" s="55"/>
      <c r="D24" s="150"/>
      <c r="E24" s="75">
        <f t="shared" si="1"/>
        <v>22</v>
      </c>
      <c r="F24" s="54">
        <v>16.2</v>
      </c>
      <c r="G24" s="55">
        <v>6</v>
      </c>
      <c r="H24" s="150"/>
      <c r="I24" s="75">
        <f t="shared" si="2"/>
        <v>22</v>
      </c>
      <c r="J24" s="54">
        <v>23.57</v>
      </c>
      <c r="K24" s="55">
        <v>362</v>
      </c>
      <c r="L24" s="150"/>
      <c r="M24" s="75">
        <f t="shared" si="3"/>
        <v>22</v>
      </c>
      <c r="N24" s="54">
        <v>8.5</v>
      </c>
      <c r="O24" s="55">
        <v>2</v>
      </c>
      <c r="P24" s="150"/>
      <c r="Q24" s="75">
        <f t="shared" si="4"/>
        <v>22</v>
      </c>
      <c r="R24" s="49">
        <v>125.31</v>
      </c>
      <c r="S24" s="49">
        <v>1731</v>
      </c>
      <c r="T24" s="150"/>
      <c r="U24" s="75">
        <f t="shared" si="5"/>
        <v>22</v>
      </c>
      <c r="V24" s="54">
        <v>21.39</v>
      </c>
      <c r="W24" s="55">
        <v>620</v>
      </c>
      <c r="X24" s="150"/>
      <c r="Y24" s="75">
        <f t="shared" si="6"/>
        <v>22</v>
      </c>
      <c r="Z24" s="54"/>
      <c r="AA24" s="55"/>
      <c r="AB24" s="150"/>
      <c r="AC24" s="75">
        <f t="shared" si="7"/>
        <v>22</v>
      </c>
      <c r="AD24" s="54"/>
      <c r="AE24" s="55"/>
      <c r="AF24" s="150"/>
      <c r="AG24" s="75">
        <f t="shared" si="8"/>
        <v>22</v>
      </c>
      <c r="AH24" s="54">
        <v>37.799999999999997</v>
      </c>
      <c r="AI24" s="55">
        <v>376</v>
      </c>
      <c r="AJ24" s="150"/>
      <c r="AK24" s="75">
        <f t="shared" si="9"/>
        <v>22</v>
      </c>
      <c r="AL24" s="54">
        <v>18</v>
      </c>
      <c r="AM24" s="55">
        <v>65</v>
      </c>
      <c r="AN24" s="150"/>
      <c r="AO24" s="75">
        <f t="shared" si="10"/>
        <v>22</v>
      </c>
      <c r="AP24" s="54"/>
      <c r="AQ24" s="55"/>
      <c r="AR24" s="150"/>
      <c r="AS24" s="75">
        <f t="shared" si="11"/>
        <v>22</v>
      </c>
      <c r="AT24" s="54"/>
      <c r="AU24" s="55"/>
      <c r="AV24" s="150"/>
      <c r="AW24" s="67"/>
    </row>
    <row r="25" spans="1:49" s="49" customFormat="1" ht="11.25" x14ac:dyDescent="0.2">
      <c r="A25" s="73">
        <f t="shared" si="0"/>
        <v>23</v>
      </c>
      <c r="B25" s="54">
        <v>35</v>
      </c>
      <c r="C25" s="55">
        <v>435</v>
      </c>
      <c r="D25" s="150"/>
      <c r="E25" s="75">
        <f t="shared" si="1"/>
        <v>23</v>
      </c>
      <c r="F25" s="54"/>
      <c r="G25" s="55"/>
      <c r="H25" s="150">
        <v>5.5555555555555552E-2</v>
      </c>
      <c r="I25" s="75">
        <f t="shared" si="2"/>
        <v>23</v>
      </c>
      <c r="J25" s="54">
        <v>11.51</v>
      </c>
      <c r="K25" s="55">
        <v>10</v>
      </c>
      <c r="L25" s="150"/>
      <c r="M25" s="75">
        <f t="shared" si="3"/>
        <v>23</v>
      </c>
      <c r="N25" s="54">
        <v>28.03</v>
      </c>
      <c r="O25" s="55">
        <v>195</v>
      </c>
      <c r="P25" s="150"/>
      <c r="Q25" s="75">
        <f t="shared" si="4"/>
        <v>23</v>
      </c>
      <c r="R25" s="54">
        <v>16.86</v>
      </c>
      <c r="S25" s="55">
        <v>55</v>
      </c>
      <c r="T25" s="150"/>
      <c r="U25" s="75">
        <f t="shared" si="5"/>
        <v>23</v>
      </c>
      <c r="V25" s="54">
        <v>54.67</v>
      </c>
      <c r="W25" s="55">
        <v>614</v>
      </c>
      <c r="X25" s="150"/>
      <c r="Y25" s="75">
        <f t="shared" si="6"/>
        <v>23</v>
      </c>
      <c r="Z25" s="54">
        <v>19.03</v>
      </c>
      <c r="AA25" s="55">
        <v>15</v>
      </c>
      <c r="AB25" s="150"/>
      <c r="AC25" s="75">
        <f t="shared" si="7"/>
        <v>23</v>
      </c>
      <c r="AD25" s="54">
        <v>12</v>
      </c>
      <c r="AE25" s="55">
        <v>2</v>
      </c>
      <c r="AF25" s="150"/>
      <c r="AG25" s="75">
        <f t="shared" si="8"/>
        <v>23</v>
      </c>
      <c r="AH25" s="54">
        <v>12.3</v>
      </c>
      <c r="AI25" s="55">
        <v>50</v>
      </c>
      <c r="AJ25" s="150"/>
      <c r="AK25" s="75">
        <f t="shared" si="9"/>
        <v>23</v>
      </c>
      <c r="AL25" s="54">
        <v>15.4</v>
      </c>
      <c r="AM25" s="55">
        <v>50</v>
      </c>
      <c r="AN25" s="150"/>
      <c r="AO25" s="75">
        <f t="shared" si="10"/>
        <v>23</v>
      </c>
      <c r="AP25" s="54">
        <v>10</v>
      </c>
      <c r="AQ25" s="55">
        <v>2</v>
      </c>
      <c r="AR25" s="150"/>
      <c r="AS25" s="75">
        <f t="shared" si="11"/>
        <v>23</v>
      </c>
      <c r="AT25" s="54"/>
      <c r="AU25" s="55"/>
      <c r="AV25" s="150"/>
      <c r="AW25" s="67"/>
    </row>
    <row r="26" spans="1:49" s="49" customFormat="1" ht="11.25" x14ac:dyDescent="0.2">
      <c r="A26" s="73">
        <f t="shared" si="0"/>
        <v>24</v>
      </c>
      <c r="B26" s="54"/>
      <c r="C26" s="55"/>
      <c r="D26" s="150">
        <v>2.0833333333333332E-2</v>
      </c>
      <c r="E26" s="75">
        <f t="shared" si="1"/>
        <v>24</v>
      </c>
      <c r="F26" s="54">
        <v>18.38</v>
      </c>
      <c r="G26" s="55">
        <v>145</v>
      </c>
      <c r="H26" s="150"/>
      <c r="I26" s="75">
        <f t="shared" si="2"/>
        <v>24</v>
      </c>
      <c r="J26" s="54">
        <v>38.89</v>
      </c>
      <c r="K26" s="55">
        <v>570</v>
      </c>
      <c r="L26" s="150"/>
      <c r="M26" s="75">
        <f t="shared" si="3"/>
        <v>24</v>
      </c>
      <c r="N26" s="54">
        <v>78.37</v>
      </c>
      <c r="O26" s="55">
        <v>976</v>
      </c>
      <c r="P26" s="150"/>
      <c r="Q26" s="75">
        <f t="shared" si="4"/>
        <v>24</v>
      </c>
      <c r="R26" s="54">
        <v>34.200000000000003</v>
      </c>
      <c r="S26" s="55">
        <v>173</v>
      </c>
      <c r="T26" s="150"/>
      <c r="U26" s="75">
        <f t="shared" si="5"/>
        <v>24</v>
      </c>
      <c r="V26" s="54">
        <v>37.61</v>
      </c>
      <c r="W26" s="55">
        <v>530</v>
      </c>
      <c r="X26" s="150"/>
      <c r="Y26" s="75">
        <f t="shared" si="6"/>
        <v>24</v>
      </c>
      <c r="Z26" s="54"/>
      <c r="AA26" s="55"/>
      <c r="AB26" s="150"/>
      <c r="AC26" s="75">
        <f t="shared" si="7"/>
        <v>24</v>
      </c>
      <c r="AD26" s="54">
        <v>25.6</v>
      </c>
      <c r="AE26" s="55">
        <v>135</v>
      </c>
      <c r="AF26" s="150"/>
      <c r="AG26" s="75">
        <f t="shared" si="8"/>
        <v>24</v>
      </c>
      <c r="AH26" s="54"/>
      <c r="AI26" s="55"/>
      <c r="AJ26" s="150"/>
      <c r="AK26" s="75">
        <f t="shared" si="9"/>
        <v>24</v>
      </c>
      <c r="AL26" s="54"/>
      <c r="AM26" s="55"/>
      <c r="AN26" s="150"/>
      <c r="AO26" s="75">
        <f t="shared" si="10"/>
        <v>24</v>
      </c>
      <c r="AP26" s="54">
        <v>14.68</v>
      </c>
      <c r="AQ26" s="55">
        <v>41</v>
      </c>
      <c r="AR26" s="150"/>
      <c r="AS26" s="75">
        <f t="shared" si="11"/>
        <v>24</v>
      </c>
      <c r="AT26" s="54"/>
      <c r="AU26" s="55"/>
      <c r="AV26" s="150">
        <v>2.7777777777777776E-2</v>
      </c>
      <c r="AW26" s="67"/>
    </row>
    <row r="27" spans="1:49" s="49" customFormat="1" ht="11.25" x14ac:dyDescent="0.2">
      <c r="A27" s="73">
        <f t="shared" si="0"/>
        <v>25</v>
      </c>
      <c r="B27" s="54"/>
      <c r="C27" s="55"/>
      <c r="D27" s="150"/>
      <c r="E27" s="75">
        <f t="shared" si="1"/>
        <v>25</v>
      </c>
      <c r="F27" s="54"/>
      <c r="G27" s="55"/>
      <c r="H27" s="150"/>
      <c r="I27" s="75">
        <f t="shared" si="2"/>
        <v>25</v>
      </c>
      <c r="J27" s="54">
        <v>27.23</v>
      </c>
      <c r="K27" s="55">
        <v>364</v>
      </c>
      <c r="L27" s="150"/>
      <c r="M27" s="75">
        <f t="shared" si="3"/>
        <v>25</v>
      </c>
      <c r="N27" s="54">
        <v>34</v>
      </c>
      <c r="O27" s="55">
        <v>750</v>
      </c>
      <c r="P27" s="150"/>
      <c r="Q27" s="75">
        <f t="shared" si="4"/>
        <v>25</v>
      </c>
      <c r="R27" s="54">
        <v>8.8699999999999992</v>
      </c>
      <c r="S27" s="55">
        <v>5</v>
      </c>
      <c r="T27" s="150"/>
      <c r="U27" s="75">
        <f t="shared" si="5"/>
        <v>25</v>
      </c>
      <c r="V27" s="54">
        <v>16.850000000000001</v>
      </c>
      <c r="W27" s="55">
        <v>536</v>
      </c>
      <c r="X27" s="150"/>
      <c r="Y27" s="75">
        <f t="shared" si="6"/>
        <v>25</v>
      </c>
      <c r="Z27" s="54">
        <v>75.37</v>
      </c>
      <c r="AA27" s="55">
        <v>2170</v>
      </c>
      <c r="AB27" s="150"/>
      <c r="AC27" s="75">
        <f t="shared" si="7"/>
        <v>25</v>
      </c>
      <c r="AD27" s="54"/>
      <c r="AE27" s="55"/>
      <c r="AF27" s="150"/>
      <c r="AG27" s="75">
        <f t="shared" si="8"/>
        <v>25</v>
      </c>
      <c r="AH27" s="54"/>
      <c r="AI27" s="55"/>
      <c r="AJ27" s="150"/>
      <c r="AK27" s="75">
        <f t="shared" si="9"/>
        <v>25</v>
      </c>
      <c r="AL27" s="54">
        <v>20.05</v>
      </c>
      <c r="AM27" s="55">
        <v>55</v>
      </c>
      <c r="AN27" s="150"/>
      <c r="AO27" s="75">
        <f t="shared" si="10"/>
        <v>25</v>
      </c>
      <c r="AP27" s="54"/>
      <c r="AQ27" s="55"/>
      <c r="AR27" s="150"/>
      <c r="AS27" s="75">
        <f t="shared" si="11"/>
        <v>25</v>
      </c>
      <c r="AT27" s="54"/>
      <c r="AU27" s="55"/>
      <c r="AV27" s="150"/>
      <c r="AW27" s="67"/>
    </row>
    <row r="28" spans="1:49" s="49" customFormat="1" ht="11.25" x14ac:dyDescent="0.2">
      <c r="A28" s="73">
        <f t="shared" si="0"/>
        <v>26</v>
      </c>
      <c r="B28" s="54">
        <v>11.75</v>
      </c>
      <c r="C28" s="55">
        <v>75</v>
      </c>
      <c r="D28" s="150"/>
      <c r="E28" s="75">
        <f t="shared" si="1"/>
        <v>26</v>
      </c>
      <c r="F28" s="54"/>
      <c r="G28" s="55"/>
      <c r="H28" s="150">
        <v>4.1666666666666664E-2</v>
      </c>
      <c r="I28" s="75">
        <f t="shared" si="2"/>
        <v>26</v>
      </c>
      <c r="J28" s="54"/>
      <c r="K28" s="55"/>
      <c r="L28" s="150"/>
      <c r="M28" s="75">
        <f t="shared" si="3"/>
        <v>26</v>
      </c>
      <c r="N28" s="54"/>
      <c r="O28" s="55"/>
      <c r="P28" s="150"/>
      <c r="Q28" s="75">
        <f t="shared" si="4"/>
        <v>26</v>
      </c>
      <c r="R28" s="54">
        <v>8.92</v>
      </c>
      <c r="S28" s="55">
        <v>15</v>
      </c>
      <c r="T28" s="150"/>
      <c r="U28" s="75">
        <f t="shared" si="5"/>
        <v>26</v>
      </c>
      <c r="V28" s="54">
        <v>34.17</v>
      </c>
      <c r="W28" s="55">
        <v>244</v>
      </c>
      <c r="X28" s="150"/>
      <c r="Y28" s="75">
        <f t="shared" si="6"/>
        <v>26</v>
      </c>
      <c r="Z28" s="54">
        <v>9.01</v>
      </c>
      <c r="AA28" s="55">
        <v>15</v>
      </c>
      <c r="AB28" s="150"/>
      <c r="AC28" s="75">
        <f t="shared" si="7"/>
        <v>26</v>
      </c>
      <c r="AD28" s="54"/>
      <c r="AE28" s="55"/>
      <c r="AF28" s="150"/>
      <c r="AG28" s="75">
        <f t="shared" si="8"/>
        <v>26</v>
      </c>
      <c r="AH28" s="54"/>
      <c r="AI28" s="55"/>
      <c r="AJ28" s="150"/>
      <c r="AK28" s="75">
        <f t="shared" si="9"/>
        <v>26</v>
      </c>
      <c r="AL28" s="54">
        <v>12.4</v>
      </c>
      <c r="AM28" s="55">
        <v>40</v>
      </c>
      <c r="AN28" s="150"/>
      <c r="AO28" s="75">
        <f t="shared" si="10"/>
        <v>26</v>
      </c>
      <c r="AP28" s="54"/>
      <c r="AQ28" s="55"/>
      <c r="AR28" s="150"/>
      <c r="AS28" s="75">
        <f t="shared" si="11"/>
        <v>26</v>
      </c>
      <c r="AT28" s="54"/>
      <c r="AU28" s="55"/>
      <c r="AV28" s="150">
        <v>4.1666666666666664E-2</v>
      </c>
      <c r="AW28" s="67"/>
    </row>
    <row r="29" spans="1:49" s="49" customFormat="1" ht="11.25" x14ac:dyDescent="0.2">
      <c r="A29" s="73">
        <f t="shared" si="0"/>
        <v>27</v>
      </c>
      <c r="B29" s="54"/>
      <c r="C29" s="55"/>
      <c r="D29" s="150">
        <v>2.4305555555555556E-2</v>
      </c>
      <c r="E29" s="75">
        <f t="shared" si="1"/>
        <v>27</v>
      </c>
      <c r="F29" s="54"/>
      <c r="G29" s="55"/>
      <c r="H29" s="150"/>
      <c r="I29" s="75">
        <f t="shared" si="2"/>
        <v>27</v>
      </c>
      <c r="J29" s="54">
        <v>20.54</v>
      </c>
      <c r="K29" s="55">
        <v>30</v>
      </c>
      <c r="L29" s="150"/>
      <c r="M29" s="75">
        <f t="shared" si="3"/>
        <v>27</v>
      </c>
      <c r="N29" s="54"/>
      <c r="O29" s="55"/>
      <c r="P29" s="150"/>
      <c r="Q29" s="75">
        <f t="shared" si="4"/>
        <v>27</v>
      </c>
      <c r="R29" s="54"/>
      <c r="S29" s="55"/>
      <c r="T29" s="150"/>
      <c r="U29" s="75">
        <f t="shared" si="5"/>
        <v>27</v>
      </c>
      <c r="V29" s="54">
        <v>32.39</v>
      </c>
      <c r="W29" s="55">
        <v>930</v>
      </c>
      <c r="X29" s="150"/>
      <c r="Y29" s="75">
        <f t="shared" si="6"/>
        <v>27</v>
      </c>
      <c r="Z29" s="54"/>
      <c r="AA29" s="55"/>
      <c r="AB29" s="150"/>
      <c r="AC29" s="75">
        <f t="shared" si="7"/>
        <v>27</v>
      </c>
      <c r="AD29" s="54">
        <v>14</v>
      </c>
      <c r="AE29" s="55">
        <v>10</v>
      </c>
      <c r="AF29" s="150"/>
      <c r="AG29" s="75">
        <f t="shared" si="8"/>
        <v>27</v>
      </c>
      <c r="AH29" s="54">
        <v>12</v>
      </c>
      <c r="AI29" s="55">
        <v>2</v>
      </c>
      <c r="AJ29" s="150"/>
      <c r="AK29" s="75">
        <f t="shared" si="9"/>
        <v>27</v>
      </c>
      <c r="AL29" s="54"/>
      <c r="AM29" s="55"/>
      <c r="AN29" s="150"/>
      <c r="AO29" s="75">
        <f t="shared" si="10"/>
        <v>27</v>
      </c>
      <c r="AP29" s="54"/>
      <c r="AQ29" s="55"/>
      <c r="AR29" s="150"/>
      <c r="AS29" s="75">
        <f t="shared" si="11"/>
        <v>27</v>
      </c>
      <c r="AT29" s="54"/>
      <c r="AU29" s="55"/>
      <c r="AV29" s="150"/>
      <c r="AW29" s="67"/>
    </row>
    <row r="30" spans="1:49" s="49" customFormat="1" ht="11.25" x14ac:dyDescent="0.2">
      <c r="A30" s="73">
        <f t="shared" si="0"/>
        <v>28</v>
      </c>
      <c r="B30" s="54"/>
      <c r="C30" s="55"/>
      <c r="D30" s="150"/>
      <c r="E30" s="75">
        <f t="shared" si="1"/>
        <v>28</v>
      </c>
      <c r="F30" s="54">
        <v>33.5</v>
      </c>
      <c r="G30" s="55">
        <v>93</v>
      </c>
      <c r="H30" s="150">
        <v>6.25E-2</v>
      </c>
      <c r="I30" s="75">
        <f t="shared" si="2"/>
        <v>28</v>
      </c>
      <c r="J30" s="54"/>
      <c r="K30" s="55"/>
      <c r="L30" s="150"/>
      <c r="M30" s="75">
        <f t="shared" si="3"/>
        <v>28</v>
      </c>
      <c r="N30" s="54">
        <v>21.15</v>
      </c>
      <c r="O30" s="55">
        <v>446</v>
      </c>
      <c r="P30" s="150"/>
      <c r="Q30" s="75">
        <f t="shared" si="4"/>
        <v>28</v>
      </c>
      <c r="R30" s="54"/>
      <c r="S30" s="55"/>
      <c r="T30" s="150"/>
      <c r="U30" s="75">
        <f t="shared" si="5"/>
        <v>28</v>
      </c>
      <c r="V30" s="54">
        <v>20.05</v>
      </c>
      <c r="W30" s="55">
        <v>40</v>
      </c>
      <c r="X30" s="150"/>
      <c r="Y30" s="75">
        <f t="shared" si="6"/>
        <v>28</v>
      </c>
      <c r="Z30" s="54"/>
      <c r="AA30" s="55"/>
      <c r="AB30" s="150"/>
      <c r="AC30" s="75">
        <f t="shared" si="7"/>
        <v>28</v>
      </c>
      <c r="AD30" s="54">
        <v>7</v>
      </c>
      <c r="AE30" s="55">
        <v>2</v>
      </c>
      <c r="AF30" s="150"/>
      <c r="AG30" s="75">
        <f t="shared" si="8"/>
        <v>28</v>
      </c>
      <c r="AH30" s="54">
        <v>20.9</v>
      </c>
      <c r="AI30" s="55">
        <v>50</v>
      </c>
      <c r="AJ30" s="150"/>
      <c r="AK30" s="75">
        <f t="shared" si="9"/>
        <v>28</v>
      </c>
      <c r="AL30" s="54">
        <v>13.16</v>
      </c>
      <c r="AM30" s="55">
        <v>35</v>
      </c>
      <c r="AN30" s="150"/>
      <c r="AO30" s="75">
        <f t="shared" si="10"/>
        <v>28</v>
      </c>
      <c r="AP30" s="54"/>
      <c r="AQ30" s="55"/>
      <c r="AR30" s="150"/>
      <c r="AS30" s="75">
        <f t="shared" si="11"/>
        <v>28</v>
      </c>
      <c r="AT30" s="54"/>
      <c r="AU30" s="55"/>
      <c r="AV30" s="150"/>
      <c r="AW30" s="67"/>
    </row>
    <row r="31" spans="1:49" s="49" customFormat="1" ht="11.25" x14ac:dyDescent="0.2">
      <c r="A31" s="73">
        <f t="shared" si="0"/>
        <v>29</v>
      </c>
      <c r="B31" s="54"/>
      <c r="C31" s="55"/>
      <c r="D31" s="150"/>
      <c r="E31" s="75"/>
      <c r="F31" s="54"/>
      <c r="G31" s="55"/>
      <c r="H31" s="150"/>
      <c r="I31" s="75">
        <f t="shared" si="2"/>
        <v>29</v>
      </c>
      <c r="J31" s="54">
        <v>17.23</v>
      </c>
      <c r="K31" s="55">
        <v>40</v>
      </c>
      <c r="L31" s="150"/>
      <c r="M31" s="75">
        <f t="shared" si="3"/>
        <v>29</v>
      </c>
      <c r="N31" s="54"/>
      <c r="O31" s="55"/>
      <c r="P31" s="150"/>
      <c r="Q31" s="75">
        <f t="shared" si="4"/>
        <v>29</v>
      </c>
      <c r="R31" s="54"/>
      <c r="S31" s="55"/>
      <c r="T31" s="150"/>
      <c r="U31" s="75">
        <f t="shared" si="5"/>
        <v>29</v>
      </c>
      <c r="V31" s="54">
        <v>39.6</v>
      </c>
      <c r="W31" s="55">
        <v>25</v>
      </c>
      <c r="X31" s="150"/>
      <c r="Y31" s="75">
        <f t="shared" si="6"/>
        <v>29</v>
      </c>
      <c r="Z31" s="54"/>
      <c r="AA31" s="55"/>
      <c r="AB31" s="150"/>
      <c r="AC31" s="75">
        <f t="shared" si="7"/>
        <v>29</v>
      </c>
      <c r="AD31" s="54">
        <v>19.579999999999998</v>
      </c>
      <c r="AE31" s="55">
        <v>70</v>
      </c>
      <c r="AF31" s="150"/>
      <c r="AG31" s="75">
        <f t="shared" si="8"/>
        <v>29</v>
      </c>
      <c r="AH31" s="54">
        <v>9.3000000000000007</v>
      </c>
      <c r="AI31" s="55">
        <v>20</v>
      </c>
      <c r="AJ31" s="150"/>
      <c r="AK31" s="75">
        <f t="shared" si="9"/>
        <v>29</v>
      </c>
      <c r="AL31" s="54"/>
      <c r="AM31" s="55"/>
      <c r="AN31" s="150"/>
      <c r="AO31" s="75">
        <f t="shared" si="10"/>
        <v>29</v>
      </c>
      <c r="AP31" s="54"/>
      <c r="AQ31" s="55"/>
      <c r="AR31" s="150"/>
      <c r="AS31" s="75">
        <f t="shared" si="11"/>
        <v>29</v>
      </c>
      <c r="AT31" s="54"/>
      <c r="AU31" s="55"/>
      <c r="AV31" s="150"/>
      <c r="AW31" s="67"/>
    </row>
    <row r="32" spans="1:49" s="49" customFormat="1" ht="11.25" x14ac:dyDescent="0.2">
      <c r="A32" s="73">
        <f t="shared" si="0"/>
        <v>30</v>
      </c>
      <c r="B32" s="54">
        <v>10.1</v>
      </c>
      <c r="C32" s="55">
        <v>306</v>
      </c>
      <c r="D32" s="150">
        <v>4.8611111111111112E-2</v>
      </c>
      <c r="E32" s="75"/>
      <c r="F32" s="54"/>
      <c r="G32" s="55"/>
      <c r="H32" s="150"/>
      <c r="I32" s="75">
        <f t="shared" si="2"/>
        <v>30</v>
      </c>
      <c r="J32" s="54">
        <v>22.83</v>
      </c>
      <c r="K32" s="55">
        <v>20</v>
      </c>
      <c r="L32" s="150"/>
      <c r="M32" s="75">
        <f t="shared" si="3"/>
        <v>30</v>
      </c>
      <c r="N32" s="54">
        <v>27.97</v>
      </c>
      <c r="O32" s="55">
        <v>383</v>
      </c>
      <c r="P32" s="150"/>
      <c r="Q32" s="75">
        <f t="shared" si="4"/>
        <v>30</v>
      </c>
      <c r="R32" s="54"/>
      <c r="S32" s="55"/>
      <c r="T32" s="150"/>
      <c r="U32" s="75">
        <f t="shared" si="5"/>
        <v>30</v>
      </c>
      <c r="V32" s="54">
        <v>47.55</v>
      </c>
      <c r="W32" s="55">
        <v>415</v>
      </c>
      <c r="X32" s="150"/>
      <c r="Y32" s="75">
        <f t="shared" si="6"/>
        <v>30</v>
      </c>
      <c r="Z32" s="54">
        <v>21</v>
      </c>
      <c r="AA32" s="55">
        <v>2</v>
      </c>
      <c r="AB32" s="150"/>
      <c r="AC32" s="75">
        <f t="shared" si="7"/>
        <v>30</v>
      </c>
      <c r="AD32" s="54"/>
      <c r="AE32" s="55"/>
      <c r="AF32" s="150"/>
      <c r="AG32" s="75">
        <f t="shared" si="8"/>
        <v>30</v>
      </c>
      <c r="AH32" s="54">
        <v>24.66</v>
      </c>
      <c r="AI32" s="55">
        <v>25</v>
      </c>
      <c r="AJ32" s="150"/>
      <c r="AK32" s="75">
        <f t="shared" si="9"/>
        <v>30</v>
      </c>
      <c r="AL32" s="54"/>
      <c r="AM32" s="55"/>
      <c r="AN32" s="150"/>
      <c r="AO32" s="75">
        <f t="shared" si="10"/>
        <v>30</v>
      </c>
      <c r="AP32" s="54"/>
      <c r="AQ32" s="55"/>
      <c r="AR32" s="150"/>
      <c r="AS32" s="75">
        <f t="shared" si="11"/>
        <v>30</v>
      </c>
      <c r="AT32" s="54"/>
      <c r="AU32" s="55"/>
      <c r="AV32" s="150"/>
      <c r="AW32" s="67"/>
    </row>
    <row r="33" spans="1:49" s="49" customFormat="1" ht="11.25" x14ac:dyDescent="0.2">
      <c r="A33" s="74">
        <f t="shared" si="0"/>
        <v>31</v>
      </c>
      <c r="B33" s="62"/>
      <c r="C33" s="63"/>
      <c r="D33" s="151"/>
      <c r="E33" s="76"/>
      <c r="F33" s="62"/>
      <c r="G33" s="63"/>
      <c r="H33" s="151"/>
      <c r="I33" s="76">
        <f t="shared" si="2"/>
        <v>31</v>
      </c>
      <c r="J33" s="62"/>
      <c r="K33" s="63"/>
      <c r="L33" s="151"/>
      <c r="M33" s="76"/>
      <c r="N33" s="62"/>
      <c r="O33" s="63"/>
      <c r="P33" s="151"/>
      <c r="Q33" s="76">
        <f t="shared" si="4"/>
        <v>31</v>
      </c>
      <c r="R33" s="62">
        <v>11.08</v>
      </c>
      <c r="S33" s="63">
        <v>2</v>
      </c>
      <c r="T33" s="151"/>
      <c r="U33" s="76"/>
      <c r="V33" s="62"/>
      <c r="W33" s="63"/>
      <c r="X33" s="151"/>
      <c r="Y33" s="76">
        <f t="shared" si="6"/>
        <v>31</v>
      </c>
      <c r="Z33" s="62"/>
      <c r="AA33" s="63"/>
      <c r="AB33" s="151">
        <v>2.2222222222222223E-2</v>
      </c>
      <c r="AC33" s="76">
        <f t="shared" si="7"/>
        <v>31</v>
      </c>
      <c r="AD33" s="62">
        <v>22</v>
      </c>
      <c r="AE33" s="63">
        <v>175</v>
      </c>
      <c r="AF33" s="151"/>
      <c r="AG33" s="76"/>
      <c r="AH33" s="62"/>
      <c r="AI33" s="63"/>
      <c r="AJ33" s="151"/>
      <c r="AK33" s="76">
        <f t="shared" si="9"/>
        <v>31</v>
      </c>
      <c r="AL33" s="62"/>
      <c r="AM33" s="63"/>
      <c r="AN33" s="151"/>
      <c r="AO33" s="76"/>
      <c r="AP33" s="62"/>
      <c r="AQ33" s="63"/>
      <c r="AR33" s="151"/>
      <c r="AS33" s="76">
        <f t="shared" si="11"/>
        <v>31</v>
      </c>
      <c r="AT33" s="62"/>
      <c r="AU33" s="63"/>
      <c r="AV33" s="151"/>
      <c r="AW33" s="67"/>
    </row>
    <row r="34" spans="1:49" s="49" customFormat="1" ht="11.25" x14ac:dyDescent="0.2">
      <c r="A34" s="45" t="s">
        <v>92</v>
      </c>
      <c r="B34" s="47">
        <f>SUM(B3:B33)</f>
        <v>160.29999999999998</v>
      </c>
      <c r="C34" s="48">
        <f>SUM(C3:C33)</f>
        <v>1436</v>
      </c>
      <c r="D34" s="79">
        <f>(SUM(D3:D33)/D39)*C39</f>
        <v>208.00000000000003</v>
      </c>
      <c r="E34" s="65"/>
      <c r="F34" s="47">
        <f>SUM(F3:F33)</f>
        <v>225.77</v>
      </c>
      <c r="G34" s="48">
        <f>SUM(G3:G33)</f>
        <v>1215</v>
      </c>
      <c r="H34" s="79">
        <f>(SUM(H3:H33)/D39)*C39</f>
        <v>344</v>
      </c>
      <c r="I34" s="65"/>
      <c r="J34" s="47">
        <f>SUM(J3:J33)</f>
        <v>417.11</v>
      </c>
      <c r="K34" s="48">
        <f>SUM(K3:K33)</f>
        <v>2911</v>
      </c>
      <c r="L34" s="79">
        <f>(SUM(L3:L33)/D39)*C39</f>
        <v>74</v>
      </c>
      <c r="M34" s="77"/>
      <c r="N34" s="47">
        <f>SUM(N3:N33)</f>
        <v>666.43000000000006</v>
      </c>
      <c r="O34" s="48">
        <f>SUM(O3:O33)</f>
        <v>7846</v>
      </c>
      <c r="P34" s="79">
        <f>(SUM(P3:P33)/D39)*C39</f>
        <v>12</v>
      </c>
      <c r="Q34" s="65"/>
      <c r="R34" s="47">
        <f>SUM(R3:R33)</f>
        <v>409.43</v>
      </c>
      <c r="S34" s="48">
        <f>SUM(S3:S33)</f>
        <v>3252</v>
      </c>
      <c r="T34" s="79">
        <f>(SUM(T3:T33)/D39)*C39</f>
        <v>14</v>
      </c>
      <c r="U34" s="65"/>
      <c r="V34" s="47">
        <f>SUM(V3:V33)</f>
        <v>650.35</v>
      </c>
      <c r="W34" s="48">
        <f>SUM(W3:W33)</f>
        <v>7185</v>
      </c>
      <c r="X34" s="79">
        <f>(SUM(X3:X33)/D39)*C39</f>
        <v>24</v>
      </c>
      <c r="Y34" s="65"/>
      <c r="Z34" s="47">
        <f>SUM(Z3:Z33)</f>
        <v>419.47</v>
      </c>
      <c r="AA34" s="48">
        <f>SUM(AA3:AA33)</f>
        <v>5234</v>
      </c>
      <c r="AB34" s="79">
        <f>(SUM(AB3:AB33)/D39)*C39</f>
        <v>12.800000000000002</v>
      </c>
      <c r="AC34" s="65"/>
      <c r="AD34" s="47">
        <f>SUM(AD3:AD33)</f>
        <v>398.15000000000003</v>
      </c>
      <c r="AE34" s="48">
        <f>SUM(AE3:AE33)</f>
        <v>1862</v>
      </c>
      <c r="AF34" s="79">
        <f>(SUM(AF3:AF33)/D39)*C39</f>
        <v>0</v>
      </c>
      <c r="AG34" s="65"/>
      <c r="AH34" s="47">
        <f>SUM(AH3:AH33)</f>
        <v>543.77999999999986</v>
      </c>
      <c r="AI34" s="48">
        <f>SUM(AI3:AI33)</f>
        <v>4353</v>
      </c>
      <c r="AJ34" s="79">
        <f>(SUM(AJ3:AJ33)/D39)*C39</f>
        <v>0</v>
      </c>
      <c r="AK34" s="65"/>
      <c r="AL34" s="47">
        <f>SUM(AL3:AL33)</f>
        <v>322.26</v>
      </c>
      <c r="AM34" s="48">
        <f>SUM(AM3:AM33)</f>
        <v>1870</v>
      </c>
      <c r="AN34" s="79">
        <f>(SUM(AN3:AN33)/D39)*C39</f>
        <v>0</v>
      </c>
      <c r="AO34" s="65"/>
      <c r="AP34" s="47">
        <f>SUM(AP3:AP33)</f>
        <v>211.63</v>
      </c>
      <c r="AQ34" s="48">
        <f>SUM(AQ3:AQ33)</f>
        <v>909</v>
      </c>
      <c r="AR34" s="79">
        <f>(SUM(AR3:AR33)/D39)*C39</f>
        <v>48</v>
      </c>
      <c r="AS34" s="65"/>
      <c r="AT34" s="47">
        <f>SUM(AT3:AT33)</f>
        <v>33.25</v>
      </c>
      <c r="AU34" s="48">
        <f>SUM(AU3:AU33)</f>
        <v>118</v>
      </c>
      <c r="AV34" s="79">
        <f>(SUM(AV3:AV33)/D39)*C39</f>
        <v>184</v>
      </c>
      <c r="AW34" s="67"/>
    </row>
    <row r="35" spans="1:49" s="52" customFormat="1" ht="11.25" x14ac:dyDescent="0.2">
      <c r="A35" s="46" t="s">
        <v>93</v>
      </c>
      <c r="B35" s="50">
        <f>B34</f>
        <v>160.29999999999998</v>
      </c>
      <c r="C35" s="51">
        <f>C34</f>
        <v>1436</v>
      </c>
      <c r="D35" s="80">
        <f>D34</f>
        <v>208.00000000000003</v>
      </c>
      <c r="E35" s="66"/>
      <c r="F35" s="50">
        <f>F34+B35</f>
        <v>386.07</v>
      </c>
      <c r="G35" s="51">
        <f>G34+C35</f>
        <v>2651</v>
      </c>
      <c r="H35" s="80">
        <f>H34+D35</f>
        <v>552</v>
      </c>
      <c r="I35" s="66"/>
      <c r="J35" s="50">
        <f>J34+F35</f>
        <v>803.18000000000006</v>
      </c>
      <c r="K35" s="51">
        <f>K34+G35</f>
        <v>5562</v>
      </c>
      <c r="L35" s="80">
        <f>L34+H35</f>
        <v>626</v>
      </c>
      <c r="M35" s="66"/>
      <c r="N35" s="50">
        <f>N34+J35</f>
        <v>1469.6100000000001</v>
      </c>
      <c r="O35" s="51">
        <f>O34+K35</f>
        <v>13408</v>
      </c>
      <c r="P35" s="80">
        <f>P34+L35</f>
        <v>638</v>
      </c>
      <c r="Q35" s="66"/>
      <c r="R35" s="50">
        <f>R34+N35</f>
        <v>1879.0400000000002</v>
      </c>
      <c r="S35" s="51">
        <f>S34+O35</f>
        <v>16660</v>
      </c>
      <c r="T35" s="80">
        <f>T34+P35</f>
        <v>652</v>
      </c>
      <c r="U35" s="66"/>
      <c r="V35" s="50">
        <f>V34+R35</f>
        <v>2529.3900000000003</v>
      </c>
      <c r="W35" s="51">
        <f>W34+S35</f>
        <v>23845</v>
      </c>
      <c r="X35" s="80">
        <f>X34+T35</f>
        <v>676</v>
      </c>
      <c r="Y35" s="66"/>
      <c r="Z35" s="50">
        <f>Z34+V35</f>
        <v>2948.8600000000006</v>
      </c>
      <c r="AA35" s="51">
        <f>AA34+W35</f>
        <v>29079</v>
      </c>
      <c r="AB35" s="80">
        <f>AB34+X35</f>
        <v>688.8</v>
      </c>
      <c r="AC35" s="66"/>
      <c r="AD35" s="50">
        <f>AD34+Z35</f>
        <v>3347.0100000000007</v>
      </c>
      <c r="AE35" s="51">
        <f>AE34+AA35</f>
        <v>30941</v>
      </c>
      <c r="AF35" s="80">
        <f>AF34+AB35</f>
        <v>688.8</v>
      </c>
      <c r="AG35" s="66"/>
      <c r="AH35" s="50">
        <f>AH34+AD35</f>
        <v>3890.7900000000004</v>
      </c>
      <c r="AI35" s="51">
        <f>AI34+AE35</f>
        <v>35294</v>
      </c>
      <c r="AJ35" s="80">
        <f>AJ34+AF35</f>
        <v>688.8</v>
      </c>
      <c r="AK35" s="66"/>
      <c r="AL35" s="50">
        <f>AL34+AH35</f>
        <v>4213.05</v>
      </c>
      <c r="AM35" s="51">
        <f>AM34+AI35</f>
        <v>37164</v>
      </c>
      <c r="AN35" s="80">
        <f>AN34+AJ35</f>
        <v>688.8</v>
      </c>
      <c r="AO35" s="66"/>
      <c r="AP35" s="50">
        <f>AP34+AL35</f>
        <v>4424.68</v>
      </c>
      <c r="AQ35" s="51">
        <f>AQ34+AM35</f>
        <v>38073</v>
      </c>
      <c r="AR35" s="80">
        <f>AR34+AN35</f>
        <v>736.8</v>
      </c>
      <c r="AS35" s="66"/>
      <c r="AT35" s="50">
        <f>AT34+AP35</f>
        <v>4457.93</v>
      </c>
      <c r="AU35" s="51">
        <f>AU34+AQ35</f>
        <v>38191</v>
      </c>
      <c r="AV35" s="80">
        <f>AV34+AR35</f>
        <v>920.8</v>
      </c>
      <c r="AW35" s="92"/>
    </row>
    <row r="36" spans="1:49" s="49" customFormat="1" ht="11.25" x14ac:dyDescent="0.2">
      <c r="A36" s="49" t="s">
        <v>149</v>
      </c>
      <c r="B36" s="54">
        <f>MAX(B3:B33)</f>
        <v>35</v>
      </c>
      <c r="C36" s="55">
        <f>MAX(C3:C33)</f>
        <v>435</v>
      </c>
      <c r="D36" s="152">
        <f>MAX(D3:D33)</f>
        <v>8.3333333333333329E-2</v>
      </c>
      <c r="E36" s="67"/>
      <c r="F36" s="54">
        <f>MAX(F3:F33)</f>
        <v>35</v>
      </c>
      <c r="G36" s="55">
        <f>MAX(G3:G33)</f>
        <v>435</v>
      </c>
      <c r="H36" s="152">
        <f>MAX(H3:H33)</f>
        <v>9.0277777777777776E-2</v>
      </c>
      <c r="I36" s="67"/>
      <c r="J36" s="54">
        <f>MAX(J3:J33)</f>
        <v>50.5</v>
      </c>
      <c r="K36" s="55">
        <f>MAX(K3:K33)</f>
        <v>570</v>
      </c>
      <c r="L36" s="152">
        <f>MAX(L3:L33)</f>
        <v>4.5138888888888888E-2</v>
      </c>
      <c r="M36" s="67"/>
      <c r="N36" s="54">
        <f>MAX(N3:N33)</f>
        <v>78.37</v>
      </c>
      <c r="O36" s="55">
        <f>MAX(O3:O33)</f>
        <v>1456</v>
      </c>
      <c r="P36" s="152">
        <f>MAX(P3:P33)</f>
        <v>2.0833333333333332E-2</v>
      </c>
      <c r="Q36" s="67"/>
      <c r="R36" s="54">
        <f>MAX(R3:R33)</f>
        <v>125.31</v>
      </c>
      <c r="S36" s="55">
        <f>MAX(S3:S33)</f>
        <v>1731</v>
      </c>
      <c r="T36" s="152">
        <f>MAX(T3:T33)</f>
        <v>2.4305555555555556E-2</v>
      </c>
      <c r="U36" s="67"/>
      <c r="V36" s="54">
        <f>MAX(V3:V33)</f>
        <v>54.67</v>
      </c>
      <c r="W36" s="55">
        <f>MAX(W3:W33)</f>
        <v>930</v>
      </c>
      <c r="X36" s="152">
        <f>MAX(X3:X33)</f>
        <v>4.1666666666666664E-2</v>
      </c>
      <c r="Y36" s="67"/>
      <c r="Z36" s="54">
        <f>MAX(Z3:Z33)</f>
        <v>107.27</v>
      </c>
      <c r="AA36" s="55">
        <f>MAX(AA3:AA33)</f>
        <v>2170</v>
      </c>
      <c r="AB36" s="152">
        <f>MAX(AB3:AB33)</f>
        <v>2.2222222222222223E-2</v>
      </c>
      <c r="AC36" s="67"/>
      <c r="AD36" s="54">
        <f>MAX(AD3:AD33)</f>
        <v>36.03</v>
      </c>
      <c r="AE36" s="55">
        <f>MAX(AE3:AE33)</f>
        <v>435</v>
      </c>
      <c r="AF36" s="152">
        <f>MAX(AF3:AF33)</f>
        <v>0</v>
      </c>
      <c r="AG36" s="67"/>
      <c r="AH36" s="54">
        <f>MAX(AH3:AH33)</f>
        <v>53.45</v>
      </c>
      <c r="AI36" s="55">
        <f>MAX(AI3:AI33)</f>
        <v>920</v>
      </c>
      <c r="AJ36" s="152">
        <f>MAX(AJ3:AJ33)</f>
        <v>0</v>
      </c>
      <c r="AK36" s="67"/>
      <c r="AL36" s="54">
        <f>MAX(AL3:AL33)</f>
        <v>40.76</v>
      </c>
      <c r="AM36" s="55">
        <f>MAX(AM3:AM33)</f>
        <v>420</v>
      </c>
      <c r="AN36" s="152">
        <f>MAX(AN3:AN33)</f>
        <v>0</v>
      </c>
      <c r="AO36" s="67"/>
      <c r="AP36" s="54">
        <f>MAX(AP3:AP33)</f>
        <v>27.06</v>
      </c>
      <c r="AQ36" s="55">
        <f>MAX(AQ3:AQ33)</f>
        <v>310</v>
      </c>
      <c r="AR36" s="152">
        <f>MAX(AR3:AR33)</f>
        <v>4.1666666666666664E-2</v>
      </c>
      <c r="AS36" s="67"/>
      <c r="AT36" s="54">
        <f>MAX(AT3:AT33)</f>
        <v>14</v>
      </c>
      <c r="AU36" s="55">
        <f>MAX(AU3:AU33)</f>
        <v>81</v>
      </c>
      <c r="AV36" s="152">
        <f>MAX(AV3:AV33)</f>
        <v>4.8611111111111112E-2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16.029999999999998</v>
      </c>
      <c r="C37" s="55">
        <f>IFERROR(AVERAGE(C3:C33),0)</f>
        <v>143.6</v>
      </c>
      <c r="D37" s="152">
        <f>IFERROR(AVERAGE(D3:D33),0)</f>
        <v>3.6111111111111108E-2</v>
      </c>
      <c r="E37" s="67"/>
      <c r="F37" s="54">
        <f>IFERROR(AVERAGE(F3:F33),0)</f>
        <v>18.814166666666669</v>
      </c>
      <c r="G37" s="55">
        <f>IFERROR(AVERAGE(G3:G33),0)</f>
        <v>101.25</v>
      </c>
      <c r="H37" s="152">
        <f>IFERROR(AVERAGE(H3:H33),0)</f>
        <v>4.9768518518518517E-2</v>
      </c>
      <c r="I37" s="67"/>
      <c r="J37" s="54">
        <f>IFERROR(AVERAGE(J3:J33),0)</f>
        <v>20.855499999999999</v>
      </c>
      <c r="K37" s="55">
        <f>IFERROR(AVERAGE(K3:K33),0)</f>
        <v>145.55000000000001</v>
      </c>
      <c r="L37" s="152">
        <f>IFERROR(AVERAGE(L3:L33),0)</f>
        <v>3.2118055555555552E-2</v>
      </c>
      <c r="M37" s="67"/>
      <c r="N37" s="54">
        <f>IFERROR(AVERAGE(N3:N33),0)</f>
        <v>30.292272727272731</v>
      </c>
      <c r="O37" s="55">
        <f>IFERROR(AVERAGE(O3:O33),0)</f>
        <v>356.63636363636363</v>
      </c>
      <c r="P37" s="152">
        <f>IFERROR(AVERAGE(P3:P33),0)</f>
        <v>2.0833333333333332E-2</v>
      </c>
      <c r="Q37" s="67"/>
      <c r="R37" s="54">
        <f>IFERROR(AVERAGE(R3:R33),0)</f>
        <v>24.084117647058825</v>
      </c>
      <c r="S37" s="55">
        <f>IFERROR(AVERAGE(S3:S33),0)</f>
        <v>191.29411764705881</v>
      </c>
      <c r="T37" s="152">
        <f>IFERROR(AVERAGE(T3:T33),0)</f>
        <v>2.4305555555555556E-2</v>
      </c>
      <c r="U37" s="67"/>
      <c r="V37" s="54">
        <f>IFERROR(AVERAGE(V3:V33),0)</f>
        <v>28.276086956521741</v>
      </c>
      <c r="W37" s="55">
        <f>IFERROR(AVERAGE(W3:W33),0)</f>
        <v>312.39130434782606</v>
      </c>
      <c r="X37" s="152">
        <f>IFERROR(AVERAGE(X3:X33),0)</f>
        <v>4.1666666666666664E-2</v>
      </c>
      <c r="Y37" s="67"/>
      <c r="Z37" s="54">
        <f>IFERROR(AVERAGE(Z3:Z33),0)</f>
        <v>32.266923076923078</v>
      </c>
      <c r="AA37" s="55">
        <f>IFERROR(AVERAGE(AA3:AA33),0)</f>
        <v>402.61538461538464</v>
      </c>
      <c r="AB37" s="152">
        <f>IFERROR(AVERAGE(AB3:AB33),0)</f>
        <v>2.2222222222222223E-2</v>
      </c>
      <c r="AC37" s="67"/>
      <c r="AD37" s="54">
        <f>IFERROR(AVERAGE(AD3:AD33),0)</f>
        <v>19.907500000000002</v>
      </c>
      <c r="AE37" s="55">
        <f>IFERROR(AVERAGE(AE3:AE33),0)</f>
        <v>93.1</v>
      </c>
      <c r="AF37" s="152">
        <f>IFERROR(AVERAGE(AF3:AF33),0)</f>
        <v>0</v>
      </c>
      <c r="AG37" s="67"/>
      <c r="AH37" s="54">
        <f>IFERROR(AVERAGE(AH3:AH33),0)</f>
        <v>24.717272727272722</v>
      </c>
      <c r="AI37" s="55">
        <f>IFERROR(AVERAGE(AI3:AI33),0)</f>
        <v>197.86363636363637</v>
      </c>
      <c r="AJ37" s="152">
        <f>IFERROR(AVERAGE(AJ3:AJ33),0)</f>
        <v>0</v>
      </c>
      <c r="AK37" s="67"/>
      <c r="AL37" s="54">
        <f>IFERROR(AVERAGE(AL3:AL33),0)</f>
        <v>21.483999999999998</v>
      </c>
      <c r="AM37" s="55">
        <f>IFERROR(AVERAGE(AM3:AM33),0)</f>
        <v>124.66666666666667</v>
      </c>
      <c r="AN37" s="152">
        <f>IFERROR(AVERAGE(AN3:AN33),0)</f>
        <v>0</v>
      </c>
      <c r="AO37" s="67"/>
      <c r="AP37" s="54">
        <f>IFERROR(AVERAGE(AP3:AP33),0)</f>
        <v>14.108666666666666</v>
      </c>
      <c r="AQ37" s="55">
        <f>IFERROR(AVERAGE(AQ3:AQ33),0)</f>
        <v>60.6</v>
      </c>
      <c r="AR37" s="152">
        <f>IFERROR(AVERAGE(AR3:AR33),0)</f>
        <v>4.1666666666666664E-2</v>
      </c>
      <c r="AS37" s="67"/>
      <c r="AT37" s="54">
        <f>IFERROR(AVERAGE(AT3:AT33),0)</f>
        <v>11.083333333333334</v>
      </c>
      <c r="AU37" s="55">
        <f>IFERROR(AVERAGE(AU3:AU33),0)</f>
        <v>39.333333333333336</v>
      </c>
      <c r="AV37" s="152">
        <f>IFERROR(AVERAGE(AV3:AV33),0)</f>
        <v>3.5493827160493825E-2</v>
      </c>
      <c r="AW37" s="67"/>
    </row>
    <row r="38" spans="1:49" s="49" customFormat="1" ht="11.25" x14ac:dyDescent="0.2">
      <c r="A38" s="49" t="s">
        <v>236</v>
      </c>
      <c r="B38" s="54">
        <f>B34-'09'!B34</f>
        <v>-139.74000000000004</v>
      </c>
      <c r="C38" s="78">
        <f>C34-'09'!C34</f>
        <v>-439</v>
      </c>
      <c r="D38" s="105">
        <f>IF(B34+D34=0,0,D34/(B34+D34))</f>
        <v>0.56475699158294879</v>
      </c>
      <c r="E38" s="67"/>
      <c r="F38" s="54">
        <f>F34-'09'!F34</f>
        <v>-42.500000000000028</v>
      </c>
      <c r="G38" s="78">
        <f>G34-'09'!G34</f>
        <v>-1738</v>
      </c>
      <c r="H38" s="105">
        <f>IF(F34+H34=0,0,H34/(F34+H34))</f>
        <v>0.60375239131579406</v>
      </c>
      <c r="I38" s="67"/>
      <c r="J38" s="54">
        <f>J34-'09'!J34</f>
        <v>-121.52999999999997</v>
      </c>
      <c r="K38" s="78">
        <f>K34-'09'!K34</f>
        <v>-1882</v>
      </c>
      <c r="L38" s="105">
        <f>IF(J34+L34=0,0,L34/(J34+L34))</f>
        <v>0.1506790739345564</v>
      </c>
      <c r="M38" s="67"/>
      <c r="N38" s="54">
        <f>N34-'09'!N34</f>
        <v>-63.589999999999918</v>
      </c>
      <c r="O38" s="78">
        <f>O34-'09'!O34</f>
        <v>467</v>
      </c>
      <c r="P38" s="105">
        <f>IF(N34+P34=0,0,P34/(N34+P34))</f>
        <v>1.7687897056439129E-2</v>
      </c>
      <c r="Q38" s="67"/>
      <c r="R38" s="54">
        <f>R34-'09'!R34</f>
        <v>-399.10999999999984</v>
      </c>
      <c r="S38" s="78">
        <f>S34-'09'!S34</f>
        <v>-4759</v>
      </c>
      <c r="T38" s="105">
        <f>IF(R34+T34=0,0,T34/(R34+T34))</f>
        <v>3.3063316250619937E-2</v>
      </c>
      <c r="U38" s="67"/>
      <c r="V38" s="54">
        <f>V34-'09'!V34</f>
        <v>-225.50999999999988</v>
      </c>
      <c r="W38" s="78">
        <f>W34-'09'!W34</f>
        <v>-948</v>
      </c>
      <c r="X38" s="105">
        <f>IF(V34+X34=0,0,X34/(V34+X34))</f>
        <v>3.558982724104693E-2</v>
      </c>
      <c r="Y38" s="67"/>
      <c r="Z38" s="54">
        <f>Z34-'09'!Z34</f>
        <v>-425.03000000000009</v>
      </c>
      <c r="AA38" s="78">
        <f>AA34-'09'!AA34</f>
        <v>-2653</v>
      </c>
      <c r="AB38" s="105">
        <f>IF(Z34+AB34=0,0,AB34/(Z34+AB34))</f>
        <v>2.961112267795591E-2</v>
      </c>
      <c r="AC38" s="67"/>
      <c r="AD38" s="54">
        <f>AD34-'09'!AD34</f>
        <v>-405.10000000000008</v>
      </c>
      <c r="AE38" s="78">
        <f>AE34-'09'!AE34</f>
        <v>-7462</v>
      </c>
      <c r="AF38" s="105">
        <f>IF(AD34+AF34=0,0,AF34/(AD34+AF34))</f>
        <v>0</v>
      </c>
      <c r="AG38" s="67"/>
      <c r="AH38" s="54">
        <f>AH34-'09'!AH34</f>
        <v>16.609999999999786</v>
      </c>
      <c r="AI38" s="78">
        <f>AI34-'09'!AI34</f>
        <v>-3761</v>
      </c>
      <c r="AJ38" s="105">
        <f>IF(AH34+AJ34=0,0,AJ34/(AH34+AJ34))</f>
        <v>0</v>
      </c>
      <c r="AK38" s="67"/>
      <c r="AL38" s="54">
        <f>AL34-'09'!AL34</f>
        <v>-160.44999999999999</v>
      </c>
      <c r="AM38" s="78">
        <f>AM34-'09'!AM34</f>
        <v>-1446</v>
      </c>
      <c r="AN38" s="105">
        <f>IF(AL34+AN34=0,0,AN34/(AL34+AN34))</f>
        <v>0</v>
      </c>
      <c r="AO38" s="67"/>
      <c r="AP38" s="54">
        <f>AP34-'09'!AP34</f>
        <v>-57.110000000000014</v>
      </c>
      <c r="AQ38" s="78">
        <f>AQ34-'09'!AQ34</f>
        <v>-3546</v>
      </c>
      <c r="AR38" s="105">
        <f>IF(AP34+AR34=0,0,AR34/(AP34+AR34))</f>
        <v>0.1848784809151485</v>
      </c>
      <c r="AS38" s="67"/>
      <c r="AT38" s="54">
        <f>AT34-'09'!AT34</f>
        <v>-267.34000000000003</v>
      </c>
      <c r="AU38" s="78">
        <f>AU34-'09'!AU34</f>
        <v>-1098</v>
      </c>
      <c r="AV38" s="105">
        <f>IF(AT34+AV34=0,0,AV34/(AT34+AV34))</f>
        <v>0.84695051783659381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H39" s="169"/>
      <c r="I39" s="168"/>
      <c r="J39" s="50">
        <f>SUM(B34,F34,J34)</f>
        <v>803.18000000000006</v>
      </c>
      <c r="K39" s="51">
        <f t="shared" ref="K39:L39" si="12">SUM(C34,G34,K34)</f>
        <v>5562</v>
      </c>
      <c r="L39" s="170">
        <f t="shared" si="12"/>
        <v>626</v>
      </c>
      <c r="M39" s="168"/>
      <c r="P39" s="169"/>
      <c r="Q39" s="168"/>
      <c r="T39" s="169"/>
      <c r="U39" s="168"/>
      <c r="V39" s="50">
        <f>SUM(N34,R34,V34)</f>
        <v>1726.21</v>
      </c>
      <c r="W39" s="51">
        <f>SUM(O34,S34,W34)</f>
        <v>18283</v>
      </c>
      <c r="X39" s="170">
        <f>SUM(P34,T34,X34)</f>
        <v>50</v>
      </c>
      <c r="Y39" s="168"/>
      <c r="AB39" s="169"/>
      <c r="AC39" s="168"/>
      <c r="AF39" s="169"/>
      <c r="AG39" s="168"/>
      <c r="AH39" s="50">
        <f>SUM(Z34,AD34,AH34)</f>
        <v>1361.4</v>
      </c>
      <c r="AI39" s="51">
        <f>SUM(AA34,AE34,AI34)</f>
        <v>11449</v>
      </c>
      <c r="AJ39" s="170">
        <f>SUM(AB34,AF34,AJ34)</f>
        <v>12.800000000000002</v>
      </c>
      <c r="AK39" s="168"/>
      <c r="AN39" s="169"/>
      <c r="AO39" s="168"/>
      <c r="AR39" s="169"/>
      <c r="AS39" s="168"/>
      <c r="AT39" s="50">
        <f>SUM(AL34,AP34,AT34)</f>
        <v>567.14</v>
      </c>
      <c r="AU39" s="51">
        <f>SUM(AM34,AQ34,AU34)</f>
        <v>2897</v>
      </c>
      <c r="AV39" s="170">
        <f>SUM(AN34,AR34,AV34)</f>
        <v>232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18.566555555555556</v>
      </c>
      <c r="K40" s="55">
        <f>IFERROR(AVERAGE(C37,G37,K37),0)</f>
        <v>130.13333333333333</v>
      </c>
      <c r="L40" s="152">
        <f>IFERROR(AVERAGE(D37,H37,L37),0)</f>
        <v>3.9332561728395062E-2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27.5508257769511</v>
      </c>
      <c r="W40" s="55">
        <f>IFERROR(AVERAGE(O37,S37,W37),0)</f>
        <v>286.77392854374949</v>
      </c>
      <c r="X40" s="152">
        <f>IFERROR(AVERAGE(P37,T37,X37),0)</f>
        <v>2.8935185185185185E-2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25.630565268065265</v>
      </c>
      <c r="AI40" s="55">
        <f>IFERROR(AVERAGE(AA37,AE37,AI37),0)</f>
        <v>231.193006993007</v>
      </c>
      <c r="AJ40" s="152">
        <f>IFERROR(AVERAGE(AB37,AF37,AJ37),0)</f>
        <v>7.4074074074074077E-3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15.558666666666667</v>
      </c>
      <c r="AU40" s="55">
        <f>IFERROR(AVERAGE(AM37,AQ37,AU37),0)</f>
        <v>74.866666666666674</v>
      </c>
      <c r="AV40" s="152">
        <f>IFERROR(AVERAGE(AN37,AR37,AV37),0)</f>
        <v>2.5720164609053495E-2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11</v>
      </c>
      <c r="C41" s="96">
        <f>RANK(C34,(C34,G34,K34,O34,S34,W34,AA34,AE34,AI34,AM34,AQ34,AU34))</f>
        <v>9</v>
      </c>
      <c r="D41" s="102">
        <f>RANK(D34,(D34,H34,L34,P34,T34,X34,AB34,AF34,AJ34,AN34,AR34,AV34))</f>
        <v>2</v>
      </c>
      <c r="E41" s="103"/>
      <c r="F41" s="95">
        <f>RANK(F34,(B34,F34,J34,N34,R34,V34,Z34,AD34,AH34,AL34,AP34,AT34))</f>
        <v>9</v>
      </c>
      <c r="G41" s="96">
        <f>RANK(G34,(C34,G34,K34,O34,S34,W34,AA34,AE34,AI34,AM34,AQ34,AU34))</f>
        <v>10</v>
      </c>
      <c r="H41" s="102">
        <f>RANK(H34,(D34,H34,L34,P34,T34,X34,AB34,AF34,AJ34,AN34,AR34,AV34))</f>
        <v>1</v>
      </c>
      <c r="I41" s="103"/>
      <c r="J41" s="95">
        <f>RANK(J34,(B34,F34,J34,N34,R34,V34,Z34,AD34,AH34,AL34,AP34,AT34))</f>
        <v>5</v>
      </c>
      <c r="K41" s="96">
        <f>RANK(K34,(C34,G34,K34,O34,S34,W34,AA34,AE34,AI34,AM34,AQ34,AU34))</f>
        <v>6</v>
      </c>
      <c r="L41" s="102">
        <f>RANK(L34,(D34,H34,L34,P34,T34,X34,AB34,AF34,AJ34,AN34,AR34,AV34))</f>
        <v>4</v>
      </c>
      <c r="M41" s="103"/>
      <c r="N41" s="95">
        <f>RANK(N34,(B34,F34,J34,N34,R34,V34,Z34,AD34,AH34,AL34,AP34,AT34))</f>
        <v>1</v>
      </c>
      <c r="O41" s="96">
        <f>RANK(O34,(C34,G34,K34,O34,S34,W34,AA34,AE34,AI34,AM34,AQ34,AU34))</f>
        <v>1</v>
      </c>
      <c r="P41" s="102">
        <f>RANK(P34,(D34,H34,L34,P34,T34,X34,AB34,AF34,AJ34,AN34,AR34,AV34))</f>
        <v>9</v>
      </c>
      <c r="Q41" s="103"/>
      <c r="R41" s="95">
        <f>RANK(R34,(B34,F34,J34,N34,R34,V34,Z34,AD34,AH34,AL34,AP34,AT34))</f>
        <v>6</v>
      </c>
      <c r="S41" s="96">
        <f>RANK(S34,(C34,G34,K34,O34,S34,W34,AA34,AE34,AI34,AM34,AQ34,AU34))</f>
        <v>5</v>
      </c>
      <c r="T41" s="102">
        <f>RANK(T34,(D34,H34,L34,P34,T34,X34,AB34,AF34,AJ34,AN34,AR34,AV34))</f>
        <v>7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2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4</v>
      </c>
      <c r="AA41" s="96">
        <f>RANK(AA34,(C34,G34,K34,O34,S34,W34,AA34,AE34,AI34,AM34,AQ34,AU34))</f>
        <v>3</v>
      </c>
      <c r="AB41" s="102">
        <f>RANK(AB34,(D34,H34,L34,P34,T34,X34,AB34,AF34,AJ34,AN34,AR34,AV34))</f>
        <v>8</v>
      </c>
      <c r="AC41" s="103"/>
      <c r="AD41" s="95">
        <f>RANK(AD34,(B34,F34,J34,N34,R34,V34,Z34,AD34,AH34,AL34,AP34,AT34))</f>
        <v>7</v>
      </c>
      <c r="AE41" s="96">
        <f>RANK(AE34,(C34,G34,K34,O34,S34,W34,AA34,AE34,AI34,AM34,AQ34,AU34))</f>
        <v>8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3</v>
      </c>
      <c r="AI41" s="96">
        <f>RANK(AI34,(C34,G34,K34,O34,S34,W34,AA34,AE34,AI34,AM34,AQ34,AU34))</f>
        <v>4</v>
      </c>
      <c r="AJ41" s="102">
        <f>RANK(AJ34,(D34,H34,L34,P34,T34,X34,AB34,AF34,AJ34,AN34,AR34,AV34))</f>
        <v>10</v>
      </c>
      <c r="AK41" s="103"/>
      <c r="AL41" s="95">
        <f>RANK(AL34,(B34,F34,J34,N34,R34,V34,Z34,AD34,AH34,AL34,AP34,AT34))</f>
        <v>8</v>
      </c>
      <c r="AM41" s="96">
        <f>RANK(AM34,(C34,G34,K34,O34,S34,W34,AA34,AE34,AI34,AM34,AQ34,AU34))</f>
        <v>7</v>
      </c>
      <c r="AN41" s="102">
        <f>RANK(AN34,(D34,H34,L34,P34,T34,X34,AB34,AF34,AJ34,AN34,AR34,AV34))</f>
        <v>10</v>
      </c>
      <c r="AO41" s="103"/>
      <c r="AP41" s="95">
        <f>RANK(AP34,(B34,F34,J34,N34,R34,V34,Z34,AD34,AH34,AL34,AP34,AT34))</f>
        <v>10</v>
      </c>
      <c r="AQ41" s="96">
        <f>RANK(AQ34,(C34,G34,K34,O34,S34,W34,AA34,AE34,AI34,AM34,AQ34,AU34))</f>
        <v>11</v>
      </c>
      <c r="AR41" s="102">
        <f>RANK(AR34,(D34,H34,L34,P34,T34,X34,AB34,AF34,AJ34,AN34,AR34,AV34))</f>
        <v>5</v>
      </c>
      <c r="AS41" s="103"/>
      <c r="AT41" s="95">
        <f>RANK(AT34,(B34,F34,J34,N34,R34,V34,Z34,AD34,AH34,AL34,AP34,AT34))</f>
        <v>12</v>
      </c>
      <c r="AU41" s="96">
        <f>RANK(AU34,(C34,G34,K34,O34,S34,W34,AA34,AE34,AI34,AM34,AQ34,AU34))</f>
        <v>12</v>
      </c>
      <c r="AV41" s="102">
        <f>RANK(AV34,(D34,H34,L34,P34,T34,X34,AB34,AF34,AJ34,AN34,AR34,AV34))</f>
        <v>3</v>
      </c>
      <c r="AW41" s="107"/>
    </row>
    <row r="42" spans="1:49" s="49" customFormat="1" ht="11.25" x14ac:dyDescent="0.2">
      <c r="A42" s="52" t="s">
        <v>214</v>
      </c>
      <c r="B42" s="86">
        <f>T1</f>
        <v>21.826653316809644</v>
      </c>
      <c r="C42" s="87">
        <f>AB1</f>
        <v>180.7417338841891</v>
      </c>
      <c r="D42" s="88"/>
      <c r="E42" s="176" t="s">
        <v>399</v>
      </c>
      <c r="F42" s="177">
        <f>SUM(J23:J33,N3:N33,R3:R33,V3:V33,Z3:Z33,AD3:AD33,AH3:AH23)</f>
        <v>3157.2799999999993</v>
      </c>
      <c r="G42" s="178">
        <f>SUM(K23:K33,O3:O32,S3:S33,W3:W32,AA3:AA33,AE3:AE33,AI3:AI23)</f>
        <v>30815</v>
      </c>
      <c r="H42" s="179"/>
      <c r="I42" s="179"/>
      <c r="J42" s="180">
        <f>IFERROR(F42/(F42+F43),0)</f>
        <v>0.70823902573615982</v>
      </c>
      <c r="K42" s="180">
        <f>IFERROR(G42/(G42+G43),0)</f>
        <v>0.80686549186981227</v>
      </c>
      <c r="L42" s="179"/>
      <c r="M42" s="259" t="s">
        <v>600</v>
      </c>
      <c r="N42" s="257">
        <v>12</v>
      </c>
      <c r="Y42" s="144"/>
      <c r="AK42" s="211" t="s">
        <v>478</v>
      </c>
      <c r="AL42" s="47">
        <f>MAX(B34,F34,J34,N34,R34,V34,Z34,AD34,AH34,AL34,AP34,AT34)</f>
        <v>666.43000000000006</v>
      </c>
      <c r="AM42" s="212">
        <f>MAX(C34,G34,K34,O34,S34,W34,AA34,AE34,AI34,AM34,AQ34,AU34)</f>
        <v>7846</v>
      </c>
      <c r="AN42" s="49" t="s">
        <v>346</v>
      </c>
      <c r="AO42" s="210" t="s">
        <v>344</v>
      </c>
      <c r="AP42" s="54">
        <f>R1-'09'!R1</f>
        <v>-235.02000000000004</v>
      </c>
      <c r="AQ42" s="78">
        <f>AF1-'09'!AF1</f>
        <v>-1098</v>
      </c>
      <c r="AR42" s="49" t="s">
        <v>345</v>
      </c>
      <c r="AS42" s="209" t="s">
        <v>344</v>
      </c>
      <c r="AT42" s="54">
        <f>I1-'09'!I1</f>
        <v>-6.1299999999999955</v>
      </c>
      <c r="AU42" s="78">
        <f>AN1-'09'!AN1</f>
        <v>310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12.213506849315069</v>
      </c>
      <c r="C43" s="87">
        <f>AU1/365</f>
        <v>104.63287671232877</v>
      </c>
      <c r="D43" s="88"/>
      <c r="E43" s="172" t="s">
        <v>400</v>
      </c>
      <c r="F43" s="173">
        <f>E1-F42</f>
        <v>1300.650000000001</v>
      </c>
      <c r="G43" s="174">
        <f>AU1-G42</f>
        <v>7376</v>
      </c>
      <c r="H43" s="175"/>
      <c r="I43" s="175"/>
      <c r="J43" s="181">
        <f>IFERROR(F43/(F42+F43),0)</f>
        <v>0.29176097426384012</v>
      </c>
      <c r="K43" s="181">
        <f>IFERROR(G43/(G42+G43),0)</f>
        <v>0.19313450813018773</v>
      </c>
      <c r="L43" s="175"/>
      <c r="M43" s="65" t="s">
        <v>601</v>
      </c>
      <c r="N43" s="258">
        <v>18</v>
      </c>
      <c r="Y43" s="67"/>
      <c r="AK43" s="213" t="s">
        <v>481</v>
      </c>
      <c r="AL43" s="188">
        <f>IF($B$1&lt;&gt;0,$AV$35/$B1,0)</f>
        <v>0.17119282804676939</v>
      </c>
      <c r="AO43" s="209" t="s">
        <v>344</v>
      </c>
      <c r="AP43" s="54">
        <f>AV35-'09'!AV35</f>
        <v>310.79999999999995</v>
      </c>
      <c r="AQ43" s="188">
        <f>AL43-'09'!AL43</f>
        <v>8.8293583245299484E-2</v>
      </c>
      <c r="AR43" s="49" t="s">
        <v>204</v>
      </c>
      <c r="AS43" s="209" t="s">
        <v>344</v>
      </c>
      <c r="AT43" s="54">
        <f>B1-'09'!B1</f>
        <v>-1979.5999999999995</v>
      </c>
      <c r="AU43" s="78">
        <f>AU1-'09'!AU1</f>
        <v>-29265</v>
      </c>
      <c r="AV43" s="49" t="s">
        <v>347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C34 G34 K34 O34 S34 W34 AA34 AE34 AI34 AM34 AQ34 AU34">
    <cfRule type="cellIs" dxfId="736" priority="166" operator="equal">
      <formula>$AF$1</formula>
    </cfRule>
    <cfRule type="cellIs" dxfId="735" priority="1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734" priority="163" operator="lessThan">
      <formula>0</formula>
    </cfRule>
    <cfRule type="cellIs" dxfId="733" priority="164" operator="greaterThanOrEqual">
      <formula>0</formula>
    </cfRule>
  </conditionalFormatting>
  <conditionalFormatting sqref="C38 G38 K38 O38 S38 W38 AA38 AE38 AI38 AM38 AQ38 AU38 AU42:AU43 AQ42">
    <cfRule type="cellIs" dxfId="732" priority="161" operator="lessThan">
      <formula>0</formula>
    </cfRule>
    <cfRule type="cellIs" dxfId="731" priority="162" operator="greaterThanOrEqual">
      <formula>0</formula>
    </cfRule>
  </conditionalFormatting>
  <conditionalFormatting sqref="B3:B33 F3:F33 J3:J33 N3:N33 R3:R33 V3:V33 Z3:Z33 AT3:AT33 AH3:AH33 AL3:AL33 AP3:AP33 AD3:AD13 AD15:AD33">
    <cfRule type="cellIs" dxfId="730" priority="158" stopIfTrue="1" operator="lessThan">
      <formula>50</formula>
    </cfRule>
    <cfRule type="cellIs" dxfId="729" priority="159" stopIfTrue="1" operator="greaterThanOrEqual">
      <formula>100</formula>
    </cfRule>
    <cfRule type="cellIs" dxfId="728" priority="160" operator="greaterThanOrEqual">
      <formula>50</formula>
    </cfRule>
  </conditionalFormatting>
  <conditionalFormatting sqref="C3:C33 G3:G33 K3:K33 O3:O33 S3:S33 W3:W33 AA3:AA33 AU3:AU33 AI3:AI33 AM3:AM33 AQ3:AQ33 AE3:AE13 AE15:AE33">
    <cfRule type="cellIs" dxfId="727" priority="155" stopIfTrue="1" operator="between">
      <formula>0</formula>
      <formula>749.99</formula>
    </cfRule>
    <cfRule type="cellIs" dxfId="726" priority="156" stopIfTrue="1" operator="greaterThanOrEqual">
      <formula>1500</formula>
    </cfRule>
    <cfRule type="cellIs" dxfId="725" priority="157" operator="greaterThanOrEqual">
      <formula>750</formula>
    </cfRule>
  </conditionalFormatting>
  <conditionalFormatting sqref="D38">
    <cfRule type="cellIs" dxfId="724" priority="150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723" priority="149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722" priority="138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721" priority="117" stopIfTrue="1" operator="between">
      <formula>0</formula>
      <formula>0.0416550925925926</formula>
    </cfRule>
    <cfRule type="cellIs" dxfId="720" priority="118" stopIfTrue="1" operator="between">
      <formula>0.0416666666666667</formula>
      <formula>0.0833217592592593</formula>
    </cfRule>
    <cfRule type="cellIs" dxfId="719" priority="11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18" priority="71" operator="equal">
      <formula>MAX($D$36,$H$36,$L$36,$P$36,$T$36,$X$36,$AB$36,$AF$36,$AJ$36,$AN$36,$AR$36,$AV$36)</formula>
    </cfRule>
  </conditionalFormatting>
  <conditionalFormatting sqref="AP43">
    <cfRule type="cellIs" dxfId="717" priority="69" operator="lessThan">
      <formula>0</formula>
    </cfRule>
    <cfRule type="cellIs" dxfId="716" priority="70" operator="greaterThanOrEqual">
      <formula>0</formula>
    </cfRule>
  </conditionalFormatting>
  <conditionalFormatting sqref="B34">
    <cfRule type="cellIs" dxfId="715" priority="60" operator="equal">
      <formula>$R$1</formula>
    </cfRule>
    <cfRule type="cellIs" dxfId="714" priority="61" operator="equal">
      <formula>$M$1</formula>
    </cfRule>
  </conditionalFormatting>
  <conditionalFormatting sqref="AL42">
    <cfRule type="cellIs" dxfId="713" priority="55" stopIfTrue="1" operator="lessThan">
      <formula>1000</formula>
    </cfRule>
    <cfRule type="cellIs" dxfId="712" priority="56" stopIfTrue="1" operator="lessThan">
      <formula>1100</formula>
    </cfRule>
    <cfRule type="cellIs" dxfId="711" priority="57" stopIfTrue="1" operator="lessThan">
      <formula>9999</formula>
    </cfRule>
  </conditionalFormatting>
  <conditionalFormatting sqref="AM42">
    <cfRule type="cellIs" dxfId="710" priority="52" stopIfTrue="1" operator="lessThan">
      <formula>10000</formula>
    </cfRule>
    <cfRule type="cellIs" dxfId="709" priority="53" stopIfTrue="1" operator="lessThan">
      <formula>13000</formula>
    </cfRule>
    <cfRule type="cellIs" dxfId="708" priority="54" stopIfTrue="1" operator="lessThan">
      <formula>99999</formula>
    </cfRule>
  </conditionalFormatting>
  <conditionalFormatting sqref="AL43">
    <cfRule type="cellIs" dxfId="707" priority="46" stopIfTrue="1" operator="lessThan">
      <formula>0.05</formula>
    </cfRule>
    <cfRule type="cellIs" dxfId="706" priority="47" stopIfTrue="1" operator="lessThan">
      <formula>0.1</formula>
    </cfRule>
    <cfRule type="cellIs" dxfId="705" priority="48" stopIfTrue="1" operator="lessThanOrEqual">
      <formula>1</formula>
    </cfRule>
  </conditionalFormatting>
  <conditionalFormatting sqref="AQ43">
    <cfRule type="cellIs" dxfId="704" priority="42" stopIfTrue="1" operator="lessThan">
      <formula>0</formula>
    </cfRule>
    <cfRule type="cellIs" dxfId="703" priority="43" operator="greaterThanOrEqual">
      <formula>0</formula>
    </cfRule>
  </conditionalFormatting>
  <conditionalFormatting sqref="F34">
    <cfRule type="cellIs" dxfId="702" priority="38" operator="equal">
      <formula>$R$1</formula>
    </cfRule>
    <cfRule type="cellIs" dxfId="701" priority="39" operator="equal">
      <formula>$M$1</formula>
    </cfRule>
  </conditionalFormatting>
  <conditionalFormatting sqref="J34">
    <cfRule type="cellIs" dxfId="700" priority="35" operator="equal">
      <formula>$R$1</formula>
    </cfRule>
    <cfRule type="cellIs" dxfId="699" priority="36" operator="equal">
      <formula>$M$1</formula>
    </cfRule>
  </conditionalFormatting>
  <conditionalFormatting sqref="N34">
    <cfRule type="cellIs" dxfId="698" priority="32" operator="equal">
      <formula>$R$1</formula>
    </cfRule>
    <cfRule type="cellIs" dxfId="697" priority="33" operator="equal">
      <formula>$M$1</formula>
    </cfRule>
  </conditionalFormatting>
  <conditionalFormatting sqref="R34">
    <cfRule type="cellIs" dxfId="696" priority="29" operator="equal">
      <formula>$R$1</formula>
    </cfRule>
    <cfRule type="cellIs" dxfId="695" priority="30" operator="equal">
      <formula>$M$1</formula>
    </cfRule>
  </conditionalFormatting>
  <conditionalFormatting sqref="V34">
    <cfRule type="cellIs" dxfId="694" priority="26" operator="equal">
      <formula>$R$1</formula>
    </cfRule>
    <cfRule type="cellIs" dxfId="693" priority="27" operator="equal">
      <formula>$M$1</formula>
    </cfRule>
  </conditionalFormatting>
  <conditionalFormatting sqref="Z34">
    <cfRule type="cellIs" dxfId="692" priority="23" operator="equal">
      <formula>$R$1</formula>
    </cfRule>
    <cfRule type="cellIs" dxfId="691" priority="24" operator="equal">
      <formula>$M$1</formula>
    </cfRule>
  </conditionalFormatting>
  <conditionalFormatting sqref="AD34">
    <cfRule type="cellIs" dxfId="690" priority="20" operator="equal">
      <formula>$R$1</formula>
    </cfRule>
    <cfRule type="cellIs" dxfId="689" priority="21" operator="equal">
      <formula>$M$1</formula>
    </cfRule>
  </conditionalFormatting>
  <conditionalFormatting sqref="AH34">
    <cfRule type="cellIs" dxfId="688" priority="17" operator="equal">
      <formula>$R$1</formula>
    </cfRule>
    <cfRule type="cellIs" dxfId="687" priority="18" operator="equal">
      <formula>$M$1</formula>
    </cfRule>
  </conditionalFormatting>
  <conditionalFormatting sqref="AL34">
    <cfRule type="cellIs" dxfId="686" priority="14" operator="equal">
      <formula>$R$1</formula>
    </cfRule>
    <cfRule type="cellIs" dxfId="685" priority="15" operator="equal">
      <formula>$M$1</formula>
    </cfRule>
  </conditionalFormatting>
  <conditionalFormatting sqref="AP34">
    <cfRule type="cellIs" dxfId="684" priority="11" operator="equal">
      <formula>$R$1</formula>
    </cfRule>
    <cfRule type="cellIs" dxfId="683" priority="12" operator="equal">
      <formula>$M$1</formula>
    </cfRule>
  </conditionalFormatting>
  <conditionalFormatting sqref="AT34">
    <cfRule type="cellIs" dxfId="682" priority="8" operator="equal">
      <formula>$R$1</formula>
    </cfRule>
    <cfRule type="cellIs" dxfId="681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58">
        <f>AT35+AV35</f>
        <v>7051.7800000000007</v>
      </c>
      <c r="C1" s="358"/>
      <c r="D1" s="83" t="s">
        <v>238</v>
      </c>
      <c r="E1" s="359">
        <f>AT35</f>
        <v>6666.9800000000005</v>
      </c>
      <c r="F1" s="359"/>
      <c r="G1" s="360" t="s">
        <v>152</v>
      </c>
      <c r="H1" s="360"/>
      <c r="I1" s="356">
        <f>MAX(B36,F36,J36,N36,R36,V36,Z36,AD36,AH36,AL36,AP36,AT36)</f>
        <v>124</v>
      </c>
      <c r="J1" s="356"/>
      <c r="K1" s="361" t="s">
        <v>159</v>
      </c>
      <c r="L1" s="361"/>
      <c r="M1" s="362">
        <f>MAX(B34,F34,J34,N34,R34,V34,Z34,AD34,AH34,AL34,AP34,AT34)</f>
        <v>902.05000000000018</v>
      </c>
      <c r="N1" s="362"/>
      <c r="O1" s="355" t="s">
        <v>190</v>
      </c>
      <c r="P1" s="355"/>
      <c r="Q1" s="355"/>
      <c r="R1" s="149">
        <f>MIN(B34,F34,J34,N34,R34,V34,Z34,AD34,AH34,AL34,AP34,AT34)</f>
        <v>241.00999999999996</v>
      </c>
      <c r="S1" s="84" t="s">
        <v>207</v>
      </c>
      <c r="T1" s="368">
        <f>IFERROR(AVERAGE(B37,F37,J37,N37,R37,V37,Z37,AD37,AH37,AL37,AP37,AT37),0)</f>
        <v>24.566448971731607</v>
      </c>
      <c r="U1" s="368"/>
      <c r="V1" s="376" t="s">
        <v>418</v>
      </c>
      <c r="W1" s="376"/>
      <c r="X1" s="376"/>
      <c r="Y1" s="376"/>
      <c r="Z1" s="376"/>
      <c r="AA1" s="85" t="s">
        <v>207</v>
      </c>
      <c r="AB1" s="357">
        <f>IFERROR(AVERAGE(C37,G37,K37,O37,S37,W37,AA37,AE37,AI37,AM37,AQ37,AU37),0)</f>
        <v>261.88691068899544</v>
      </c>
      <c r="AC1" s="357"/>
      <c r="AD1" s="367" t="s">
        <v>190</v>
      </c>
      <c r="AE1" s="367"/>
      <c r="AF1" s="370">
        <f>MIN(C34,G34,K34,O34,S34,W34,AA34,AE34,AI34,AM34,AQ34,AU34)</f>
        <v>1799</v>
      </c>
      <c r="AG1" s="370"/>
      <c r="AH1" s="371" t="s">
        <v>159</v>
      </c>
      <c r="AI1" s="371"/>
      <c r="AJ1" s="372">
        <f>MAX(C34,G34,K34,O34,S34,W34,AA34,AE34,AI34,AM34,AQ34,AU34)</f>
        <v>12610</v>
      </c>
      <c r="AK1" s="372"/>
      <c r="AL1" s="374" t="s">
        <v>153</v>
      </c>
      <c r="AM1" s="374"/>
      <c r="AN1" s="373">
        <f>MAX(C36,G36,K36,O36,S36,W36,AA36,AE36,AI36,AM36,AQ36,AU36)</f>
        <v>2200</v>
      </c>
      <c r="AO1" s="373"/>
      <c r="AP1" s="363" t="s">
        <v>361</v>
      </c>
      <c r="AQ1" s="363"/>
      <c r="AR1" s="364">
        <f>MAX(D36,H36,L36,P36,T36,X36,AB36,AF36,AJ36,AN36,AR36,AV36)</f>
        <v>9.375E-2</v>
      </c>
      <c r="AS1" s="364"/>
      <c r="AT1" s="81" t="s">
        <v>2</v>
      </c>
      <c r="AU1" s="365">
        <f>AU35</f>
        <v>72014</v>
      </c>
      <c r="AV1" s="366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/>
      <c r="C3" s="55"/>
      <c r="D3" s="150">
        <v>4.1666666666666664E-2</v>
      </c>
      <c r="E3" s="75">
        <v>1</v>
      </c>
      <c r="F3" s="54"/>
      <c r="G3" s="55"/>
      <c r="H3" s="150"/>
      <c r="I3" s="75">
        <v>1</v>
      </c>
      <c r="J3" s="54">
        <v>14.4</v>
      </c>
      <c r="K3" s="55">
        <v>40</v>
      </c>
      <c r="L3" s="150"/>
      <c r="M3" s="75">
        <v>1</v>
      </c>
      <c r="N3" s="54">
        <v>10.029999999999999</v>
      </c>
      <c r="O3" s="55">
        <v>15</v>
      </c>
      <c r="P3" s="150"/>
      <c r="Q3" s="75">
        <v>1</v>
      </c>
      <c r="R3" s="54">
        <v>55.29</v>
      </c>
      <c r="S3" s="55">
        <v>470</v>
      </c>
      <c r="T3" s="150"/>
      <c r="U3" s="75">
        <v>1</v>
      </c>
      <c r="V3" s="54"/>
      <c r="W3" s="55"/>
      <c r="X3" s="150"/>
      <c r="Y3" s="75">
        <v>1</v>
      </c>
      <c r="Z3" s="54"/>
      <c r="AA3" s="55"/>
      <c r="AB3" s="150"/>
      <c r="AC3" s="75">
        <v>1</v>
      </c>
      <c r="AD3" s="54">
        <v>15.2</v>
      </c>
      <c r="AE3" s="55">
        <v>50</v>
      </c>
      <c r="AF3" s="150"/>
      <c r="AG3" s="75">
        <v>1</v>
      </c>
      <c r="AH3" s="54">
        <v>25.09</v>
      </c>
      <c r="AI3" s="55">
        <v>379</v>
      </c>
      <c r="AJ3" s="150"/>
      <c r="AK3" s="75">
        <v>1</v>
      </c>
      <c r="AL3" s="54">
        <v>68.58</v>
      </c>
      <c r="AM3" s="55">
        <v>1003</v>
      </c>
      <c r="AN3" s="150"/>
      <c r="AO3" s="75">
        <v>1</v>
      </c>
      <c r="AP3" s="54">
        <v>10.1</v>
      </c>
      <c r="AQ3" s="55">
        <v>306</v>
      </c>
      <c r="AR3" s="150"/>
      <c r="AS3" s="75">
        <v>1</v>
      </c>
      <c r="AT3" s="54">
        <v>15.5</v>
      </c>
      <c r="AU3" s="55">
        <v>15</v>
      </c>
      <c r="AV3" s="150"/>
      <c r="AW3" s="67"/>
    </row>
    <row r="4" spans="1:49" s="49" customFormat="1" ht="11.25" x14ac:dyDescent="0.2">
      <c r="A4" s="73">
        <f>A3+1</f>
        <v>2</v>
      </c>
      <c r="B4" s="54">
        <v>10.6</v>
      </c>
      <c r="C4" s="55">
        <v>310</v>
      </c>
      <c r="D4" s="150">
        <v>4.8611111111111112E-2</v>
      </c>
      <c r="E4" s="75">
        <f>E3+1</f>
        <v>2</v>
      </c>
      <c r="F4" s="54"/>
      <c r="G4" s="55"/>
      <c r="H4" s="150">
        <v>4.1666666666666664E-2</v>
      </c>
      <c r="I4" s="75">
        <f>I3+1</f>
        <v>2</v>
      </c>
      <c r="J4" s="54">
        <v>19.77</v>
      </c>
      <c r="K4" s="55">
        <v>434</v>
      </c>
      <c r="L4" s="150"/>
      <c r="M4" s="75">
        <f>M3+1</f>
        <v>2</v>
      </c>
      <c r="N4" s="54">
        <v>27.6</v>
      </c>
      <c r="O4" s="55">
        <v>170</v>
      </c>
      <c r="P4" s="150"/>
      <c r="Q4" s="75">
        <f>Q3+1</f>
        <v>2</v>
      </c>
      <c r="R4" s="54"/>
      <c r="S4" s="55"/>
      <c r="T4" s="150"/>
      <c r="U4" s="75">
        <f>U3+1</f>
        <v>2</v>
      </c>
      <c r="V4" s="54">
        <v>45.1</v>
      </c>
      <c r="W4" s="55">
        <v>600</v>
      </c>
      <c r="X4" s="150"/>
      <c r="Y4" s="75">
        <f>Y3+1</f>
        <v>2</v>
      </c>
      <c r="Z4" s="54">
        <v>48.89</v>
      </c>
      <c r="AA4" s="55">
        <v>215</v>
      </c>
      <c r="AB4" s="150"/>
      <c r="AC4" s="75">
        <f>AC3+1</f>
        <v>2</v>
      </c>
      <c r="AD4" s="54">
        <v>15.7</v>
      </c>
      <c r="AE4" s="55">
        <v>115</v>
      </c>
      <c r="AF4" s="150"/>
      <c r="AG4" s="75">
        <f>AG3+1</f>
        <v>2</v>
      </c>
      <c r="AH4" s="54">
        <v>18.760000000000002</v>
      </c>
      <c r="AI4" s="55">
        <v>350</v>
      </c>
      <c r="AJ4" s="150"/>
      <c r="AK4" s="75">
        <f>AK3+1</f>
        <v>2</v>
      </c>
      <c r="AL4" s="54">
        <v>90.07</v>
      </c>
      <c r="AM4" s="55">
        <v>1040</v>
      </c>
      <c r="AN4" s="150"/>
      <c r="AO4" s="75">
        <f>AO3+1</f>
        <v>2</v>
      </c>
      <c r="AP4" s="54"/>
      <c r="AQ4" s="55"/>
      <c r="AR4" s="150"/>
      <c r="AS4" s="75">
        <f>AS3+1</f>
        <v>2</v>
      </c>
      <c r="AT4" s="54"/>
      <c r="AU4" s="55"/>
      <c r="AV4" s="150"/>
      <c r="AW4" s="67"/>
    </row>
    <row r="5" spans="1:49" s="49" customFormat="1" ht="11.25" x14ac:dyDescent="0.2">
      <c r="A5" s="73">
        <f t="shared" ref="A5:A33" si="0">A4+1</f>
        <v>3</v>
      </c>
      <c r="B5" s="54"/>
      <c r="C5" s="55"/>
      <c r="D5" s="150"/>
      <c r="E5" s="75">
        <f t="shared" ref="E5:E30" si="1">E4+1</f>
        <v>3</v>
      </c>
      <c r="F5" s="54"/>
      <c r="G5" s="55"/>
      <c r="H5" s="150"/>
      <c r="I5" s="75">
        <f t="shared" ref="I5:I33" si="2">I4+1</f>
        <v>3</v>
      </c>
      <c r="J5" s="54">
        <v>12</v>
      </c>
      <c r="K5" s="55">
        <v>20</v>
      </c>
      <c r="L5" s="150"/>
      <c r="M5" s="75">
        <f t="shared" ref="M5:M32" si="3">M4+1</f>
        <v>3</v>
      </c>
      <c r="N5" s="54">
        <v>34.6</v>
      </c>
      <c r="O5" s="55">
        <v>270</v>
      </c>
      <c r="P5" s="150"/>
      <c r="Q5" s="75">
        <f t="shared" ref="Q5:Q33" si="4">Q4+1</f>
        <v>3</v>
      </c>
      <c r="R5" s="54"/>
      <c r="S5" s="55"/>
      <c r="T5" s="150"/>
      <c r="U5" s="75">
        <f t="shared" ref="U5:U32" si="5">U4+1</f>
        <v>3</v>
      </c>
      <c r="V5" s="54">
        <v>16</v>
      </c>
      <c r="W5" s="55">
        <v>65</v>
      </c>
      <c r="X5" s="150"/>
      <c r="Y5" s="75">
        <f t="shared" ref="Y5:Y33" si="6">Y4+1</f>
        <v>3</v>
      </c>
      <c r="Z5" s="54">
        <v>28.060000000000002</v>
      </c>
      <c r="AA5" s="55">
        <v>148</v>
      </c>
      <c r="AB5" s="150"/>
      <c r="AC5" s="75">
        <f t="shared" ref="AC5:AC33" si="7">AC4+1</f>
        <v>3</v>
      </c>
      <c r="AD5" s="54">
        <v>13.6</v>
      </c>
      <c r="AE5" s="55">
        <v>10</v>
      </c>
      <c r="AF5" s="150"/>
      <c r="AG5" s="75">
        <f t="shared" ref="AG5:AG32" si="8">AG4+1</f>
        <v>3</v>
      </c>
      <c r="AH5" s="54">
        <v>52.39</v>
      </c>
      <c r="AI5" s="55">
        <v>735</v>
      </c>
      <c r="AJ5" s="150"/>
      <c r="AK5" s="75">
        <f t="shared" ref="AK5:AK33" si="9">AK4+1</f>
        <v>3</v>
      </c>
      <c r="AL5" s="54">
        <v>33.85</v>
      </c>
      <c r="AM5" s="55">
        <v>837</v>
      </c>
      <c r="AN5" s="150"/>
      <c r="AO5" s="75">
        <f t="shared" ref="AO5:AO32" si="10">AO4+1</f>
        <v>3</v>
      </c>
      <c r="AP5" s="54">
        <v>15.3</v>
      </c>
      <c r="AQ5" s="55">
        <v>62</v>
      </c>
      <c r="AR5" s="150"/>
      <c r="AS5" s="75">
        <f t="shared" ref="AS5:AS33" si="11">AS4+1</f>
        <v>3</v>
      </c>
      <c r="AT5" s="54"/>
      <c r="AU5" s="55"/>
      <c r="AV5" s="150">
        <v>9.375E-2</v>
      </c>
      <c r="AW5" s="67"/>
    </row>
    <row r="6" spans="1:49" s="49" customFormat="1" ht="11.25" x14ac:dyDescent="0.2">
      <c r="A6" s="73">
        <f t="shared" si="0"/>
        <v>4</v>
      </c>
      <c r="B6" s="54"/>
      <c r="C6" s="55"/>
      <c r="D6" s="150"/>
      <c r="E6" s="75">
        <f t="shared" si="1"/>
        <v>4</v>
      </c>
      <c r="F6" s="54">
        <v>19.149999999999999</v>
      </c>
      <c r="G6" s="55">
        <v>422</v>
      </c>
      <c r="H6" s="150"/>
      <c r="I6" s="75">
        <f t="shared" si="2"/>
        <v>4</v>
      </c>
      <c r="J6" s="54"/>
      <c r="K6" s="55"/>
      <c r="L6" s="150"/>
      <c r="M6" s="75">
        <f t="shared" si="3"/>
        <v>4</v>
      </c>
      <c r="N6" s="54">
        <v>10.5</v>
      </c>
      <c r="O6" s="55">
        <v>15</v>
      </c>
      <c r="P6" s="150"/>
      <c r="Q6" s="75">
        <f t="shared" si="4"/>
        <v>4</v>
      </c>
      <c r="R6" s="54">
        <v>20.5</v>
      </c>
      <c r="S6" s="55">
        <v>43</v>
      </c>
      <c r="T6" s="150"/>
      <c r="U6" s="75">
        <f t="shared" si="5"/>
        <v>4</v>
      </c>
      <c r="V6" s="54"/>
      <c r="W6" s="55"/>
      <c r="X6" s="150"/>
      <c r="Y6" s="75">
        <f t="shared" si="6"/>
        <v>4</v>
      </c>
      <c r="Z6" s="54">
        <v>15.729999999999999</v>
      </c>
      <c r="AA6" s="55">
        <v>140</v>
      </c>
      <c r="AB6" s="150"/>
      <c r="AC6" s="75">
        <f t="shared" si="7"/>
        <v>4</v>
      </c>
      <c r="AD6" s="54">
        <v>20.46</v>
      </c>
      <c r="AE6" s="55">
        <v>210</v>
      </c>
      <c r="AF6" s="150"/>
      <c r="AG6" s="75">
        <f t="shared" si="8"/>
        <v>4</v>
      </c>
      <c r="AH6" s="54">
        <v>53.7</v>
      </c>
      <c r="AI6" s="55">
        <v>643</v>
      </c>
      <c r="AJ6" s="150"/>
      <c r="AK6" s="75">
        <f t="shared" si="9"/>
        <v>4</v>
      </c>
      <c r="AL6" s="54">
        <v>16</v>
      </c>
      <c r="AM6" s="55">
        <v>65</v>
      </c>
      <c r="AN6" s="150"/>
      <c r="AO6" s="75">
        <f t="shared" si="10"/>
        <v>4</v>
      </c>
      <c r="AP6" s="54">
        <v>18.25</v>
      </c>
      <c r="AQ6" s="55">
        <v>13</v>
      </c>
      <c r="AR6" s="150"/>
      <c r="AS6" s="75">
        <f t="shared" si="11"/>
        <v>4</v>
      </c>
      <c r="AT6" s="54"/>
      <c r="AU6" s="55"/>
      <c r="AV6" s="150"/>
      <c r="AW6" s="67"/>
    </row>
    <row r="7" spans="1:49" s="49" customFormat="1" ht="11.25" x14ac:dyDescent="0.2">
      <c r="A7" s="73">
        <f t="shared" si="0"/>
        <v>5</v>
      </c>
      <c r="B7" s="54">
        <v>11.3</v>
      </c>
      <c r="C7" s="55">
        <v>20</v>
      </c>
      <c r="D7" s="150"/>
      <c r="E7" s="75">
        <f t="shared" si="1"/>
        <v>5</v>
      </c>
      <c r="F7" s="54">
        <v>15.81</v>
      </c>
      <c r="G7" s="55">
        <v>356</v>
      </c>
      <c r="H7" s="150"/>
      <c r="I7" s="75">
        <f t="shared" si="2"/>
        <v>5</v>
      </c>
      <c r="J7" s="54"/>
      <c r="K7" s="55"/>
      <c r="L7" s="150"/>
      <c r="M7" s="75">
        <f t="shared" si="3"/>
        <v>5</v>
      </c>
      <c r="N7" s="54">
        <v>29.05</v>
      </c>
      <c r="O7" s="55">
        <v>190</v>
      </c>
      <c r="P7" s="150"/>
      <c r="Q7" s="75">
        <f t="shared" si="4"/>
        <v>5</v>
      </c>
      <c r="R7" s="54">
        <v>16</v>
      </c>
      <c r="S7" s="55">
        <v>65</v>
      </c>
      <c r="T7" s="150"/>
      <c r="U7" s="75">
        <f t="shared" si="5"/>
        <v>5</v>
      </c>
      <c r="V7" s="54">
        <v>124</v>
      </c>
      <c r="W7" s="55">
        <v>1445</v>
      </c>
      <c r="X7" s="150"/>
      <c r="Y7" s="75">
        <f t="shared" si="6"/>
        <v>5</v>
      </c>
      <c r="Z7" s="54">
        <v>10.1</v>
      </c>
      <c r="AA7" s="55">
        <v>306</v>
      </c>
      <c r="AB7" s="150"/>
      <c r="AC7" s="75">
        <f t="shared" si="7"/>
        <v>5</v>
      </c>
      <c r="AD7" s="54">
        <v>21.119999999999997</v>
      </c>
      <c r="AE7" s="55">
        <v>60</v>
      </c>
      <c r="AF7" s="150"/>
      <c r="AG7" s="75">
        <f t="shared" si="8"/>
        <v>5</v>
      </c>
      <c r="AH7" s="54"/>
      <c r="AI7" s="55"/>
      <c r="AJ7" s="150"/>
      <c r="AK7" s="75">
        <f t="shared" si="9"/>
        <v>5</v>
      </c>
      <c r="AL7" s="54">
        <v>7.2</v>
      </c>
      <c r="AM7" s="55">
        <v>2</v>
      </c>
      <c r="AN7" s="150"/>
      <c r="AO7" s="75">
        <f t="shared" si="10"/>
        <v>5</v>
      </c>
      <c r="AP7" s="54">
        <v>23.3</v>
      </c>
      <c r="AQ7" s="55">
        <v>73</v>
      </c>
      <c r="AR7" s="150"/>
      <c r="AS7" s="75">
        <f t="shared" si="11"/>
        <v>5</v>
      </c>
      <c r="AT7" s="54">
        <v>10</v>
      </c>
      <c r="AU7" s="55">
        <v>13</v>
      </c>
      <c r="AV7" s="150"/>
      <c r="AW7" s="67"/>
    </row>
    <row r="8" spans="1:49" s="49" customFormat="1" ht="11.25" x14ac:dyDescent="0.2">
      <c r="A8" s="73">
        <f t="shared" si="0"/>
        <v>6</v>
      </c>
      <c r="B8" s="54"/>
      <c r="C8" s="55"/>
      <c r="D8" s="150">
        <v>2.0833333333333332E-2</v>
      </c>
      <c r="E8" s="75">
        <f t="shared" si="1"/>
        <v>6</v>
      </c>
      <c r="F8" s="54">
        <v>16.850000000000001</v>
      </c>
      <c r="G8" s="55">
        <v>536</v>
      </c>
      <c r="H8" s="150"/>
      <c r="I8" s="75">
        <f t="shared" si="2"/>
        <v>6</v>
      </c>
      <c r="J8" s="54"/>
      <c r="K8" s="55"/>
      <c r="L8" s="150"/>
      <c r="M8" s="75">
        <f t="shared" si="3"/>
        <v>6</v>
      </c>
      <c r="N8" s="54">
        <v>10.5</v>
      </c>
      <c r="O8" s="55">
        <v>15</v>
      </c>
      <c r="P8" s="150"/>
      <c r="Q8" s="75">
        <f t="shared" si="4"/>
        <v>6</v>
      </c>
      <c r="R8" s="54">
        <v>14.45</v>
      </c>
      <c r="S8" s="55">
        <v>140</v>
      </c>
      <c r="T8" s="150"/>
      <c r="U8" s="75">
        <f t="shared" si="5"/>
        <v>6</v>
      </c>
      <c r="V8" s="54"/>
      <c r="W8" s="55"/>
      <c r="X8" s="150"/>
      <c r="Y8" s="75">
        <f t="shared" si="6"/>
        <v>6</v>
      </c>
      <c r="Z8" s="54">
        <v>10.56</v>
      </c>
      <c r="AA8" s="55">
        <v>70</v>
      </c>
      <c r="AB8" s="150"/>
      <c r="AC8" s="75">
        <f t="shared" si="7"/>
        <v>6</v>
      </c>
      <c r="AD8" s="54">
        <v>94.3</v>
      </c>
      <c r="AE8" s="55">
        <v>1310</v>
      </c>
      <c r="AF8" s="150"/>
      <c r="AG8" s="75">
        <f t="shared" si="8"/>
        <v>6</v>
      </c>
      <c r="AH8" s="54"/>
      <c r="AI8" s="55"/>
      <c r="AJ8" s="150"/>
      <c r="AK8" s="75">
        <f t="shared" si="9"/>
        <v>6</v>
      </c>
      <c r="AL8" s="54">
        <v>9.4499999999999993</v>
      </c>
      <c r="AM8" s="55">
        <v>40</v>
      </c>
      <c r="AN8" s="150"/>
      <c r="AO8" s="75">
        <f t="shared" si="10"/>
        <v>6</v>
      </c>
      <c r="AP8" s="54">
        <v>37.200000000000003</v>
      </c>
      <c r="AQ8" s="55">
        <v>201</v>
      </c>
      <c r="AR8" s="150"/>
      <c r="AS8" s="75">
        <f t="shared" si="11"/>
        <v>6</v>
      </c>
      <c r="AT8" s="54">
        <v>10.5</v>
      </c>
      <c r="AU8" s="55">
        <v>7</v>
      </c>
      <c r="AV8" s="150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50"/>
      <c r="E9" s="75">
        <f t="shared" si="1"/>
        <v>7</v>
      </c>
      <c r="F9" s="54">
        <v>15</v>
      </c>
      <c r="G9" s="55">
        <v>20</v>
      </c>
      <c r="H9" s="150"/>
      <c r="I9" s="75">
        <f t="shared" si="2"/>
        <v>7</v>
      </c>
      <c r="J9" s="54"/>
      <c r="K9" s="55"/>
      <c r="L9" s="150"/>
      <c r="M9" s="75">
        <f t="shared" si="3"/>
        <v>7</v>
      </c>
      <c r="N9" s="54">
        <v>21.2</v>
      </c>
      <c r="O9" s="55">
        <v>30</v>
      </c>
      <c r="P9" s="150"/>
      <c r="Q9" s="75">
        <f t="shared" si="4"/>
        <v>7</v>
      </c>
      <c r="R9" s="54"/>
      <c r="S9" s="55"/>
      <c r="T9" s="150"/>
      <c r="U9" s="75">
        <f t="shared" si="5"/>
        <v>7</v>
      </c>
      <c r="V9" s="54"/>
      <c r="W9" s="55"/>
      <c r="X9" s="150"/>
      <c r="Y9" s="75">
        <f t="shared" si="6"/>
        <v>7</v>
      </c>
      <c r="Z9" s="54">
        <v>15.6</v>
      </c>
      <c r="AA9" s="55">
        <v>40</v>
      </c>
      <c r="AB9" s="150"/>
      <c r="AC9" s="75">
        <f t="shared" si="7"/>
        <v>7</v>
      </c>
      <c r="AD9" s="54">
        <v>38.14</v>
      </c>
      <c r="AE9" s="55">
        <v>320</v>
      </c>
      <c r="AF9" s="150"/>
      <c r="AG9" s="75">
        <f t="shared" si="8"/>
        <v>7</v>
      </c>
      <c r="AH9" s="54"/>
      <c r="AI9" s="55"/>
      <c r="AJ9" s="150"/>
      <c r="AK9" s="75">
        <f t="shared" si="9"/>
        <v>7</v>
      </c>
      <c r="AL9" s="54"/>
      <c r="AM9" s="55"/>
      <c r="AN9" s="150"/>
      <c r="AO9" s="75">
        <f t="shared" si="10"/>
        <v>7</v>
      </c>
      <c r="AP9" s="54">
        <v>12.3</v>
      </c>
      <c r="AQ9" s="55">
        <v>60</v>
      </c>
      <c r="AR9" s="150"/>
      <c r="AS9" s="75">
        <f t="shared" si="11"/>
        <v>7</v>
      </c>
      <c r="AT9" s="54">
        <v>11.4</v>
      </c>
      <c r="AU9" s="55">
        <v>40</v>
      </c>
      <c r="AV9" s="150"/>
      <c r="AW9" s="67"/>
    </row>
    <row r="10" spans="1:49" s="49" customFormat="1" ht="11.25" x14ac:dyDescent="0.2">
      <c r="A10" s="73">
        <f t="shared" si="0"/>
        <v>8</v>
      </c>
      <c r="B10" s="54">
        <v>10.56</v>
      </c>
      <c r="C10" s="55">
        <v>70</v>
      </c>
      <c r="D10" s="150"/>
      <c r="E10" s="75">
        <f t="shared" si="1"/>
        <v>8</v>
      </c>
      <c r="F10" s="54">
        <v>15.85</v>
      </c>
      <c r="G10" s="55">
        <v>155</v>
      </c>
      <c r="H10" s="150"/>
      <c r="I10" s="75">
        <f t="shared" si="2"/>
        <v>8</v>
      </c>
      <c r="J10" s="54">
        <v>11.4</v>
      </c>
      <c r="K10" s="55">
        <v>40</v>
      </c>
      <c r="L10" s="150"/>
      <c r="M10" s="75">
        <f t="shared" si="3"/>
        <v>8</v>
      </c>
      <c r="N10" s="54">
        <v>10.56</v>
      </c>
      <c r="O10" s="55">
        <v>70</v>
      </c>
      <c r="P10" s="150"/>
      <c r="Q10" s="75">
        <f t="shared" si="4"/>
        <v>8</v>
      </c>
      <c r="R10" s="54">
        <v>85.2</v>
      </c>
      <c r="S10" s="55">
        <v>856</v>
      </c>
      <c r="T10" s="150"/>
      <c r="U10" s="75">
        <f t="shared" si="5"/>
        <v>8</v>
      </c>
      <c r="V10" s="54">
        <v>11.4</v>
      </c>
      <c r="W10" s="55">
        <v>40</v>
      </c>
      <c r="X10" s="150"/>
      <c r="Y10" s="75">
        <f t="shared" si="6"/>
        <v>8</v>
      </c>
      <c r="Z10" s="54"/>
      <c r="AA10" s="55"/>
      <c r="AB10" s="150"/>
      <c r="AC10" s="75">
        <f t="shared" si="7"/>
        <v>8</v>
      </c>
      <c r="AD10" s="54"/>
      <c r="AE10" s="55"/>
      <c r="AF10" s="150"/>
      <c r="AG10" s="75">
        <f t="shared" si="8"/>
        <v>8</v>
      </c>
      <c r="AJ10" s="150"/>
      <c r="AK10" s="75">
        <f t="shared" si="9"/>
        <v>8</v>
      </c>
      <c r="AL10" s="54">
        <v>16.8</v>
      </c>
      <c r="AM10" s="55">
        <v>80</v>
      </c>
      <c r="AN10" s="150"/>
      <c r="AO10" s="75">
        <f t="shared" si="10"/>
        <v>8</v>
      </c>
      <c r="AP10" s="54">
        <v>9.74</v>
      </c>
      <c r="AQ10" s="55">
        <v>12</v>
      </c>
      <c r="AR10" s="150"/>
      <c r="AS10" s="75">
        <f t="shared" si="11"/>
        <v>8</v>
      </c>
      <c r="AT10" s="54"/>
      <c r="AU10" s="55"/>
      <c r="AV10" s="150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50">
        <v>5.2083333333333336E-2</v>
      </c>
      <c r="E11" s="75">
        <f t="shared" si="1"/>
        <v>9</v>
      </c>
      <c r="F11" s="54"/>
      <c r="G11" s="55"/>
      <c r="H11" s="150"/>
      <c r="I11" s="75">
        <f t="shared" si="2"/>
        <v>9</v>
      </c>
      <c r="J11" s="54"/>
      <c r="K11" s="55"/>
      <c r="L11" s="150"/>
      <c r="M11" s="75">
        <f t="shared" si="3"/>
        <v>9</v>
      </c>
      <c r="N11" s="54">
        <v>58.78</v>
      </c>
      <c r="O11" s="55">
        <v>850</v>
      </c>
      <c r="P11" s="150"/>
      <c r="Q11" s="75">
        <f t="shared" si="4"/>
        <v>9</v>
      </c>
      <c r="R11" s="54">
        <v>18.920000000000002</v>
      </c>
      <c r="S11" s="55">
        <v>85</v>
      </c>
      <c r="T11" s="150"/>
      <c r="U11" s="75">
        <f t="shared" si="5"/>
        <v>9</v>
      </c>
      <c r="V11" s="54">
        <v>6</v>
      </c>
      <c r="W11" s="55">
        <v>0</v>
      </c>
      <c r="X11" s="150"/>
      <c r="Y11" s="75">
        <f t="shared" si="6"/>
        <v>9</v>
      </c>
      <c r="Z11" s="54">
        <v>20.3</v>
      </c>
      <c r="AA11" s="55">
        <v>360</v>
      </c>
      <c r="AB11" s="150"/>
      <c r="AC11" s="75">
        <f t="shared" si="7"/>
        <v>9</v>
      </c>
      <c r="AD11" s="54"/>
      <c r="AE11" s="55"/>
      <c r="AF11" s="150"/>
      <c r="AG11" s="75">
        <f t="shared" si="8"/>
        <v>9</v>
      </c>
      <c r="AH11" s="54"/>
      <c r="AI11" s="55"/>
      <c r="AJ11" s="150"/>
      <c r="AK11" s="75">
        <f t="shared" si="9"/>
        <v>9</v>
      </c>
      <c r="AL11" s="54">
        <v>53.23</v>
      </c>
      <c r="AM11" s="55">
        <v>298</v>
      </c>
      <c r="AN11" s="150">
        <v>2.0833333333333332E-2</v>
      </c>
      <c r="AO11" s="75">
        <f t="shared" si="10"/>
        <v>9</v>
      </c>
      <c r="AP11" s="54"/>
      <c r="AQ11" s="55"/>
      <c r="AR11" s="150"/>
      <c r="AS11" s="75">
        <f t="shared" si="11"/>
        <v>9</v>
      </c>
      <c r="AT11" s="54">
        <v>20.5</v>
      </c>
      <c r="AU11" s="55">
        <v>19</v>
      </c>
      <c r="AV11" s="150"/>
      <c r="AW11" s="67"/>
    </row>
    <row r="12" spans="1:49" s="49" customFormat="1" ht="11.25" x14ac:dyDescent="0.2">
      <c r="A12" s="73">
        <f t="shared" si="0"/>
        <v>10</v>
      </c>
      <c r="B12" s="54">
        <v>14.7</v>
      </c>
      <c r="C12" s="55">
        <v>2</v>
      </c>
      <c r="D12" s="150"/>
      <c r="E12" s="75">
        <f t="shared" si="1"/>
        <v>10</v>
      </c>
      <c r="F12" s="54">
        <v>22.33</v>
      </c>
      <c r="G12" s="55">
        <v>412</v>
      </c>
      <c r="H12" s="150"/>
      <c r="I12" s="75">
        <f t="shared" si="2"/>
        <v>10</v>
      </c>
      <c r="J12" s="54">
        <v>10</v>
      </c>
      <c r="K12" s="55">
        <v>2</v>
      </c>
      <c r="L12" s="150"/>
      <c r="M12" s="75">
        <f t="shared" si="3"/>
        <v>10</v>
      </c>
      <c r="N12" s="54">
        <v>57.1</v>
      </c>
      <c r="O12" s="55">
        <v>912</v>
      </c>
      <c r="P12" s="150"/>
      <c r="Q12" s="75">
        <f t="shared" si="4"/>
        <v>10</v>
      </c>
      <c r="R12" s="54">
        <v>14.27</v>
      </c>
      <c r="S12" s="55">
        <v>45</v>
      </c>
      <c r="T12" s="150"/>
      <c r="U12" s="75">
        <f t="shared" si="5"/>
        <v>10</v>
      </c>
      <c r="V12" s="54">
        <v>15.86</v>
      </c>
      <c r="W12" s="55">
        <v>30</v>
      </c>
      <c r="X12" s="150"/>
      <c r="Y12" s="75">
        <f t="shared" si="6"/>
        <v>10</v>
      </c>
      <c r="Z12" s="54">
        <v>20.8</v>
      </c>
      <c r="AA12" s="55">
        <v>91</v>
      </c>
      <c r="AB12" s="150"/>
      <c r="AC12" s="75">
        <f t="shared" si="7"/>
        <v>10</v>
      </c>
      <c r="AD12" s="54">
        <v>13.6</v>
      </c>
      <c r="AE12" s="55">
        <v>10</v>
      </c>
      <c r="AF12" s="150"/>
      <c r="AG12" s="75">
        <f t="shared" si="8"/>
        <v>10</v>
      </c>
      <c r="AJ12" s="150"/>
      <c r="AK12" s="75">
        <f t="shared" si="9"/>
        <v>10</v>
      </c>
      <c r="AL12" s="54">
        <v>20.150000000000002</v>
      </c>
      <c r="AM12" s="55">
        <v>80</v>
      </c>
      <c r="AN12" s="150"/>
      <c r="AO12" s="75">
        <f t="shared" si="10"/>
        <v>10</v>
      </c>
      <c r="AP12" s="54">
        <v>12</v>
      </c>
      <c r="AQ12" s="55">
        <v>8</v>
      </c>
      <c r="AR12" s="150"/>
      <c r="AS12" s="75">
        <f t="shared" si="11"/>
        <v>10</v>
      </c>
      <c r="AT12" s="54">
        <v>42.05</v>
      </c>
      <c r="AU12" s="55">
        <v>457</v>
      </c>
      <c r="AV12" s="150"/>
      <c r="AW12" s="67"/>
    </row>
    <row r="13" spans="1:49" s="49" customFormat="1" ht="11.25" x14ac:dyDescent="0.2">
      <c r="A13" s="73">
        <f t="shared" si="0"/>
        <v>11</v>
      </c>
      <c r="B13" s="54"/>
      <c r="C13" s="55"/>
      <c r="D13" s="150"/>
      <c r="E13" s="75">
        <f t="shared" si="1"/>
        <v>11</v>
      </c>
      <c r="F13" s="54"/>
      <c r="G13" s="55"/>
      <c r="H13" s="150"/>
      <c r="I13" s="75">
        <f t="shared" si="2"/>
        <v>11</v>
      </c>
      <c r="J13" s="54"/>
      <c r="K13" s="55"/>
      <c r="L13" s="150"/>
      <c r="M13" s="75">
        <f t="shared" si="3"/>
        <v>11</v>
      </c>
      <c r="N13" s="54">
        <v>10</v>
      </c>
      <c r="O13" s="55">
        <v>80</v>
      </c>
      <c r="P13" s="150"/>
      <c r="Q13" s="75">
        <f t="shared" si="4"/>
        <v>11</v>
      </c>
      <c r="R13" s="54">
        <v>10.56</v>
      </c>
      <c r="S13" s="55">
        <v>70</v>
      </c>
      <c r="T13" s="150"/>
      <c r="U13" s="75">
        <f t="shared" si="5"/>
        <v>11</v>
      </c>
      <c r="V13" s="54">
        <v>48.2</v>
      </c>
      <c r="W13" s="55">
        <v>582</v>
      </c>
      <c r="X13" s="150"/>
      <c r="Y13" s="75">
        <f t="shared" si="6"/>
        <v>11</v>
      </c>
      <c r="Z13" s="54"/>
      <c r="AA13" s="55"/>
      <c r="AB13" s="150"/>
      <c r="AC13" s="75">
        <f t="shared" si="7"/>
        <v>11</v>
      </c>
      <c r="AD13" s="54">
        <v>22.8</v>
      </c>
      <c r="AE13" s="55">
        <v>329</v>
      </c>
      <c r="AF13" s="150"/>
      <c r="AG13" s="75">
        <f t="shared" si="8"/>
        <v>11</v>
      </c>
      <c r="AH13" s="54"/>
      <c r="AI13" s="55"/>
      <c r="AJ13" s="150"/>
      <c r="AK13" s="75">
        <f t="shared" si="9"/>
        <v>11</v>
      </c>
      <c r="AL13" s="54"/>
      <c r="AM13" s="55"/>
      <c r="AN13" s="150"/>
      <c r="AO13" s="75">
        <f t="shared" si="10"/>
        <v>11</v>
      </c>
      <c r="AP13" s="54">
        <v>16.649999999999999</v>
      </c>
      <c r="AQ13" s="55">
        <v>33</v>
      </c>
      <c r="AR13" s="150"/>
      <c r="AS13" s="75">
        <f t="shared" si="11"/>
        <v>11</v>
      </c>
      <c r="AT13" s="54">
        <v>23.34</v>
      </c>
      <c r="AU13" s="55">
        <v>293</v>
      </c>
      <c r="AV13" s="150"/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50"/>
      <c r="E14" s="75">
        <f t="shared" si="1"/>
        <v>12</v>
      </c>
      <c r="F14" s="54"/>
      <c r="G14" s="55"/>
      <c r="H14" s="150"/>
      <c r="I14" s="75">
        <f t="shared" si="2"/>
        <v>12</v>
      </c>
      <c r="J14" s="54">
        <v>62.42</v>
      </c>
      <c r="K14" s="55">
        <v>816</v>
      </c>
      <c r="L14" s="150"/>
      <c r="M14" s="75">
        <f t="shared" si="3"/>
        <v>12</v>
      </c>
      <c r="N14" s="54"/>
      <c r="O14" s="55"/>
      <c r="P14" s="150"/>
      <c r="Q14" s="75">
        <f t="shared" si="4"/>
        <v>12</v>
      </c>
      <c r="R14" s="54">
        <v>14.76</v>
      </c>
      <c r="S14" s="55">
        <v>334</v>
      </c>
      <c r="T14" s="150"/>
      <c r="U14" s="75">
        <f t="shared" si="5"/>
        <v>12</v>
      </c>
      <c r="V14" s="54">
        <v>57.6</v>
      </c>
      <c r="W14" s="55">
        <v>1033</v>
      </c>
      <c r="X14" s="150"/>
      <c r="Y14" s="75">
        <f t="shared" si="6"/>
        <v>12</v>
      </c>
      <c r="Z14" s="54">
        <v>10.56</v>
      </c>
      <c r="AA14" s="55">
        <v>70</v>
      </c>
      <c r="AB14" s="150"/>
      <c r="AC14" s="75">
        <f t="shared" si="7"/>
        <v>12</v>
      </c>
      <c r="AD14" s="54">
        <v>16</v>
      </c>
      <c r="AE14" s="78">
        <v>65</v>
      </c>
      <c r="AF14" s="150"/>
      <c r="AG14" s="75">
        <f t="shared" si="8"/>
        <v>12</v>
      </c>
      <c r="AH14" s="54"/>
      <c r="AI14" s="55"/>
      <c r="AJ14" s="150"/>
      <c r="AK14" s="75">
        <f t="shared" si="9"/>
        <v>12</v>
      </c>
      <c r="AL14" s="54"/>
      <c r="AM14" s="55"/>
      <c r="AN14" s="150"/>
      <c r="AO14" s="75">
        <f t="shared" si="10"/>
        <v>12</v>
      </c>
      <c r="AP14" s="54">
        <v>33.799999999999997</v>
      </c>
      <c r="AQ14" s="55">
        <v>75</v>
      </c>
      <c r="AR14" s="150"/>
      <c r="AS14" s="75">
        <f t="shared" si="11"/>
        <v>12</v>
      </c>
      <c r="AT14" s="54"/>
      <c r="AU14" s="55"/>
      <c r="AV14" s="150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50"/>
      <c r="E15" s="75">
        <f t="shared" si="1"/>
        <v>13</v>
      </c>
      <c r="F15" s="54"/>
      <c r="G15" s="55"/>
      <c r="H15" s="150"/>
      <c r="I15" s="75">
        <f t="shared" si="2"/>
        <v>13</v>
      </c>
      <c r="J15" s="54"/>
      <c r="K15" s="55"/>
      <c r="L15" s="150"/>
      <c r="M15" s="75">
        <f t="shared" si="3"/>
        <v>13</v>
      </c>
      <c r="N15" s="54">
        <v>10</v>
      </c>
      <c r="O15" s="55">
        <v>80</v>
      </c>
      <c r="P15" s="150"/>
      <c r="Q15" s="75">
        <f t="shared" si="4"/>
        <v>13</v>
      </c>
      <c r="R15" s="54">
        <v>24.4</v>
      </c>
      <c r="S15" s="55">
        <v>530</v>
      </c>
      <c r="T15" s="150"/>
      <c r="U15" s="75">
        <f t="shared" si="5"/>
        <v>13</v>
      </c>
      <c r="V15" s="54">
        <v>14.9</v>
      </c>
      <c r="W15" s="55">
        <v>65</v>
      </c>
      <c r="X15" s="150"/>
      <c r="Y15" s="75">
        <f t="shared" si="6"/>
        <v>13</v>
      </c>
      <c r="Z15" s="54"/>
      <c r="AA15" s="55"/>
      <c r="AB15" s="150"/>
      <c r="AC15" s="75">
        <f t="shared" si="7"/>
        <v>13</v>
      </c>
      <c r="AD15" s="54">
        <v>63.69</v>
      </c>
      <c r="AE15" s="55">
        <v>647</v>
      </c>
      <c r="AF15" s="150"/>
      <c r="AG15" s="75">
        <f t="shared" si="8"/>
        <v>13</v>
      </c>
      <c r="AH15" s="54"/>
      <c r="AI15" s="55"/>
      <c r="AJ15" s="150"/>
      <c r="AK15" s="75">
        <f t="shared" si="9"/>
        <v>13</v>
      </c>
      <c r="AL15" s="54">
        <v>13.4</v>
      </c>
      <c r="AM15" s="55">
        <v>40</v>
      </c>
      <c r="AN15" s="150"/>
      <c r="AO15" s="75">
        <f t="shared" si="10"/>
        <v>13</v>
      </c>
      <c r="AP15" s="54">
        <v>17.490000000000002</v>
      </c>
      <c r="AQ15" s="55">
        <v>130</v>
      </c>
      <c r="AR15" s="150"/>
      <c r="AS15" s="75">
        <f t="shared" si="11"/>
        <v>13</v>
      </c>
      <c r="AT15" s="54">
        <v>10.66</v>
      </c>
      <c r="AU15" s="55">
        <v>100</v>
      </c>
      <c r="AV15" s="150"/>
      <c r="AW15" s="67"/>
    </row>
    <row r="16" spans="1:49" s="49" customFormat="1" ht="11.25" x14ac:dyDescent="0.2">
      <c r="A16" s="73">
        <f t="shared" si="0"/>
        <v>14</v>
      </c>
      <c r="B16" s="54">
        <v>17.5</v>
      </c>
      <c r="C16" s="55">
        <v>100</v>
      </c>
      <c r="D16" s="150"/>
      <c r="E16" s="75">
        <f t="shared" si="1"/>
        <v>14</v>
      </c>
      <c r="F16" s="54"/>
      <c r="G16" s="55"/>
      <c r="H16" s="150"/>
      <c r="I16" s="75">
        <f t="shared" si="2"/>
        <v>14</v>
      </c>
      <c r="J16" s="54"/>
      <c r="K16" s="55"/>
      <c r="L16" s="150"/>
      <c r="M16" s="75">
        <f t="shared" si="3"/>
        <v>14</v>
      </c>
      <c r="N16" s="54">
        <v>10.1</v>
      </c>
      <c r="O16" s="55">
        <v>306</v>
      </c>
      <c r="P16" s="150"/>
      <c r="Q16" s="75">
        <f t="shared" si="4"/>
        <v>14</v>
      </c>
      <c r="R16" s="54">
        <v>44</v>
      </c>
      <c r="S16" s="49">
        <v>750</v>
      </c>
      <c r="T16" s="150"/>
      <c r="U16" s="75">
        <f t="shared" si="5"/>
        <v>14</v>
      </c>
      <c r="V16" s="54">
        <v>35.9</v>
      </c>
      <c r="W16" s="55">
        <v>1033</v>
      </c>
      <c r="X16" s="150"/>
      <c r="Y16" s="75">
        <f t="shared" si="6"/>
        <v>14</v>
      </c>
      <c r="Z16" s="54">
        <v>12.41</v>
      </c>
      <c r="AA16" s="55">
        <v>80</v>
      </c>
      <c r="AB16" s="150"/>
      <c r="AC16" s="75">
        <f t="shared" si="7"/>
        <v>14</v>
      </c>
      <c r="AD16" s="54">
        <v>42.76</v>
      </c>
      <c r="AE16" s="55">
        <v>700</v>
      </c>
      <c r="AF16" s="150"/>
      <c r="AG16" s="75">
        <f t="shared" si="8"/>
        <v>14</v>
      </c>
      <c r="AH16" s="54">
        <v>17.66</v>
      </c>
      <c r="AI16" s="55">
        <v>419</v>
      </c>
      <c r="AJ16" s="150"/>
      <c r="AK16" s="75">
        <f t="shared" si="9"/>
        <v>14</v>
      </c>
      <c r="AL16" s="54">
        <v>20.3</v>
      </c>
      <c r="AM16" s="55">
        <v>360</v>
      </c>
      <c r="AN16" s="150"/>
      <c r="AO16" s="75">
        <f t="shared" si="10"/>
        <v>14</v>
      </c>
      <c r="AP16" s="54">
        <v>10.96</v>
      </c>
      <c r="AQ16" s="55">
        <v>17</v>
      </c>
      <c r="AR16" s="150"/>
      <c r="AS16" s="75">
        <f t="shared" si="11"/>
        <v>14</v>
      </c>
      <c r="AT16" s="54"/>
      <c r="AU16" s="55"/>
      <c r="AV16" s="150"/>
      <c r="AW16" s="67"/>
    </row>
    <row r="17" spans="1:49" s="49" customFormat="1" ht="11.25" x14ac:dyDescent="0.2">
      <c r="A17" s="73">
        <f t="shared" si="0"/>
        <v>15</v>
      </c>
      <c r="B17" s="54"/>
      <c r="C17" s="55"/>
      <c r="D17" s="150"/>
      <c r="E17" s="75">
        <f t="shared" si="1"/>
        <v>15</v>
      </c>
      <c r="F17" s="54">
        <v>15.86</v>
      </c>
      <c r="G17" s="55">
        <v>30</v>
      </c>
      <c r="H17" s="150"/>
      <c r="I17" s="75">
        <f t="shared" si="2"/>
        <v>15</v>
      </c>
      <c r="J17" s="54">
        <v>22.5</v>
      </c>
      <c r="K17" s="55">
        <v>75</v>
      </c>
      <c r="L17" s="150"/>
      <c r="M17" s="75">
        <f t="shared" si="3"/>
        <v>15</v>
      </c>
      <c r="N17" s="54">
        <v>10.43</v>
      </c>
      <c r="O17" s="55">
        <v>81</v>
      </c>
      <c r="P17" s="150"/>
      <c r="Q17" s="75">
        <f t="shared" si="4"/>
        <v>15</v>
      </c>
      <c r="R17" s="54"/>
      <c r="T17" s="150"/>
      <c r="U17" s="75">
        <f t="shared" si="5"/>
        <v>15</v>
      </c>
      <c r="V17" s="54">
        <v>63.04</v>
      </c>
      <c r="W17" s="55">
        <v>1910</v>
      </c>
      <c r="X17" s="150"/>
      <c r="Y17" s="75">
        <f t="shared" si="6"/>
        <v>15</v>
      </c>
      <c r="Z17" s="54">
        <v>20.5</v>
      </c>
      <c r="AA17" s="55">
        <v>370</v>
      </c>
      <c r="AB17" s="150"/>
      <c r="AC17" s="75">
        <f t="shared" si="7"/>
        <v>15</v>
      </c>
      <c r="AD17" s="54">
        <v>22.1</v>
      </c>
      <c r="AE17" s="55">
        <v>112</v>
      </c>
      <c r="AF17" s="150"/>
      <c r="AG17" s="75">
        <f t="shared" si="8"/>
        <v>15</v>
      </c>
      <c r="AH17" s="54">
        <v>16.43</v>
      </c>
      <c r="AI17" s="55">
        <v>346</v>
      </c>
      <c r="AJ17" s="150"/>
      <c r="AK17" s="75">
        <f t="shared" si="9"/>
        <v>15</v>
      </c>
      <c r="AL17" s="54">
        <v>46.06</v>
      </c>
      <c r="AM17" s="55">
        <v>650</v>
      </c>
      <c r="AN17" s="150"/>
      <c r="AO17" s="75">
        <f t="shared" si="10"/>
        <v>15</v>
      </c>
      <c r="AP17" s="54">
        <v>11.3</v>
      </c>
      <c r="AQ17" s="55">
        <v>60</v>
      </c>
      <c r="AR17" s="150"/>
      <c r="AS17" s="75">
        <f t="shared" si="11"/>
        <v>15</v>
      </c>
      <c r="AT17" s="54">
        <v>14.26</v>
      </c>
      <c r="AU17" s="55">
        <v>74</v>
      </c>
      <c r="AV17" s="150"/>
      <c r="AW17" s="67"/>
    </row>
    <row r="18" spans="1:49" s="49" customFormat="1" ht="11.25" x14ac:dyDescent="0.2">
      <c r="A18" s="73">
        <f t="shared" si="0"/>
        <v>16</v>
      </c>
      <c r="B18" s="54">
        <v>34.4</v>
      </c>
      <c r="C18" s="55">
        <v>600</v>
      </c>
      <c r="D18" s="150"/>
      <c r="E18" s="75">
        <f t="shared" si="1"/>
        <v>16</v>
      </c>
      <c r="F18" s="54">
        <v>11.8</v>
      </c>
      <c r="G18" s="55">
        <v>42</v>
      </c>
      <c r="H18" s="150"/>
      <c r="I18" s="75">
        <f t="shared" si="2"/>
        <v>16</v>
      </c>
      <c r="J18" s="54">
        <v>11</v>
      </c>
      <c r="K18" s="55">
        <v>13</v>
      </c>
      <c r="L18" s="150"/>
      <c r="M18" s="75">
        <f t="shared" si="3"/>
        <v>16</v>
      </c>
      <c r="N18" s="54">
        <v>27.22</v>
      </c>
      <c r="O18" s="55">
        <v>175</v>
      </c>
      <c r="P18" s="150"/>
      <c r="Q18" s="75">
        <f t="shared" si="4"/>
        <v>16</v>
      </c>
      <c r="R18" s="54">
        <v>10</v>
      </c>
      <c r="S18" s="55">
        <v>20</v>
      </c>
      <c r="T18" s="150"/>
      <c r="U18" s="75">
        <f t="shared" si="5"/>
        <v>16</v>
      </c>
      <c r="V18" s="54">
        <v>55.8</v>
      </c>
      <c r="W18" s="55">
        <v>1000</v>
      </c>
      <c r="X18" s="150"/>
      <c r="Y18" s="75">
        <f t="shared" si="6"/>
        <v>16</v>
      </c>
      <c r="Z18" s="54">
        <v>101.35</v>
      </c>
      <c r="AA18" s="55">
        <v>1300</v>
      </c>
      <c r="AB18" s="150"/>
      <c r="AC18" s="75">
        <f t="shared" si="7"/>
        <v>16</v>
      </c>
      <c r="AD18" s="54">
        <v>21.5</v>
      </c>
      <c r="AE18" s="55">
        <v>90</v>
      </c>
      <c r="AF18" s="150"/>
      <c r="AG18" s="75">
        <f t="shared" si="8"/>
        <v>16</v>
      </c>
      <c r="AH18" s="54">
        <v>18.760000000000002</v>
      </c>
      <c r="AI18" s="55">
        <v>350</v>
      </c>
      <c r="AJ18" s="150"/>
      <c r="AK18" s="75">
        <f t="shared" si="9"/>
        <v>16</v>
      </c>
      <c r="AL18" s="54">
        <v>50.26</v>
      </c>
      <c r="AM18" s="55">
        <v>470</v>
      </c>
      <c r="AN18" s="150"/>
      <c r="AO18" s="75">
        <f t="shared" si="10"/>
        <v>16</v>
      </c>
      <c r="AP18" s="54">
        <v>10.7</v>
      </c>
      <c r="AQ18" s="55">
        <v>60</v>
      </c>
      <c r="AR18" s="150"/>
      <c r="AS18" s="75">
        <f t="shared" si="11"/>
        <v>16</v>
      </c>
      <c r="AT18" s="54"/>
      <c r="AU18" s="55"/>
      <c r="AV18" s="150">
        <v>3.125E-2</v>
      </c>
      <c r="AW18" s="67"/>
    </row>
    <row r="19" spans="1:49" s="49" customFormat="1" ht="11.25" x14ac:dyDescent="0.2">
      <c r="A19" s="73">
        <f t="shared" si="0"/>
        <v>17</v>
      </c>
      <c r="B19" s="54">
        <v>15.85</v>
      </c>
      <c r="C19" s="55">
        <v>292</v>
      </c>
      <c r="D19" s="150"/>
      <c r="E19" s="75">
        <f t="shared" si="1"/>
        <v>17</v>
      </c>
      <c r="F19" s="54">
        <v>14.23</v>
      </c>
      <c r="G19" s="55">
        <v>20</v>
      </c>
      <c r="H19" s="150"/>
      <c r="I19" s="75">
        <f t="shared" si="2"/>
        <v>17</v>
      </c>
      <c r="J19" s="54"/>
      <c r="K19" s="55"/>
      <c r="L19" s="150"/>
      <c r="M19" s="75">
        <f t="shared" si="3"/>
        <v>17</v>
      </c>
      <c r="N19" s="54">
        <v>59.88</v>
      </c>
      <c r="O19" s="55">
        <v>612</v>
      </c>
      <c r="P19" s="150"/>
      <c r="Q19" s="75">
        <f t="shared" si="4"/>
        <v>17</v>
      </c>
      <c r="R19" s="54">
        <v>12.56</v>
      </c>
      <c r="S19" s="55">
        <v>70</v>
      </c>
      <c r="T19" s="150"/>
      <c r="U19" s="75">
        <f t="shared" si="5"/>
        <v>17</v>
      </c>
      <c r="V19" s="54"/>
      <c r="W19" s="55"/>
      <c r="X19" s="150"/>
      <c r="Y19" s="75">
        <f t="shared" si="6"/>
        <v>17</v>
      </c>
      <c r="Z19" s="54"/>
      <c r="AA19" s="55"/>
      <c r="AB19" s="150"/>
      <c r="AC19" s="75">
        <f t="shared" si="7"/>
        <v>17</v>
      </c>
      <c r="AD19" s="54">
        <v>14.4</v>
      </c>
      <c r="AE19" s="55">
        <v>170</v>
      </c>
      <c r="AF19" s="150"/>
      <c r="AG19" s="75">
        <f t="shared" si="8"/>
        <v>17</v>
      </c>
      <c r="AH19" s="54">
        <v>12.84</v>
      </c>
      <c r="AI19" s="55">
        <v>286</v>
      </c>
      <c r="AJ19" s="150"/>
      <c r="AK19" s="75">
        <f t="shared" si="9"/>
        <v>17</v>
      </c>
      <c r="AL19" s="54">
        <v>20.25</v>
      </c>
      <c r="AM19" s="55">
        <v>10</v>
      </c>
      <c r="AN19" s="150"/>
      <c r="AO19" s="75">
        <f t="shared" si="10"/>
        <v>17</v>
      </c>
      <c r="AP19" s="54">
        <v>12.3</v>
      </c>
      <c r="AQ19" s="55">
        <v>60</v>
      </c>
      <c r="AR19" s="150"/>
      <c r="AS19" s="75">
        <f t="shared" si="11"/>
        <v>17</v>
      </c>
      <c r="AT19" s="54">
        <v>28.65</v>
      </c>
      <c r="AU19" s="55">
        <v>317</v>
      </c>
      <c r="AV19" s="150">
        <v>3.125E-2</v>
      </c>
      <c r="AW19" s="67"/>
    </row>
    <row r="20" spans="1:49" s="49" customFormat="1" ht="11.25" x14ac:dyDescent="0.2">
      <c r="A20" s="73">
        <f t="shared" si="0"/>
        <v>18</v>
      </c>
      <c r="B20" s="54">
        <v>15.48</v>
      </c>
      <c r="C20" s="55">
        <v>96</v>
      </c>
      <c r="D20" s="150"/>
      <c r="E20" s="75">
        <f t="shared" si="1"/>
        <v>18</v>
      </c>
      <c r="F20" s="54">
        <v>16.739999999999998</v>
      </c>
      <c r="G20" s="55">
        <v>150</v>
      </c>
      <c r="H20" s="150"/>
      <c r="I20" s="75">
        <f t="shared" si="2"/>
        <v>18</v>
      </c>
      <c r="J20" s="54">
        <v>16.86</v>
      </c>
      <c r="K20" s="55">
        <v>163</v>
      </c>
      <c r="L20" s="150"/>
      <c r="M20" s="75">
        <f t="shared" si="3"/>
        <v>18</v>
      </c>
      <c r="N20" s="54">
        <v>22.06</v>
      </c>
      <c r="O20" s="55">
        <v>83</v>
      </c>
      <c r="P20" s="150"/>
      <c r="Q20" s="75">
        <f t="shared" si="4"/>
        <v>18</v>
      </c>
      <c r="R20" s="54">
        <v>12.56</v>
      </c>
      <c r="S20" s="55">
        <v>70</v>
      </c>
      <c r="T20" s="150"/>
      <c r="U20" s="75">
        <f t="shared" si="5"/>
        <v>18</v>
      </c>
      <c r="V20" s="54">
        <v>10</v>
      </c>
      <c r="W20" s="55">
        <v>20</v>
      </c>
      <c r="X20" s="150"/>
      <c r="Y20" s="75">
        <f t="shared" si="6"/>
        <v>18</v>
      </c>
      <c r="Z20" s="54">
        <v>15.5</v>
      </c>
      <c r="AA20" s="55">
        <v>100</v>
      </c>
      <c r="AB20" s="150"/>
      <c r="AC20" s="75">
        <f t="shared" si="7"/>
        <v>18</v>
      </c>
      <c r="AD20" s="54">
        <v>14.4</v>
      </c>
      <c r="AE20" s="55">
        <v>170</v>
      </c>
      <c r="AF20" s="150"/>
      <c r="AG20" s="75">
        <f t="shared" si="8"/>
        <v>18</v>
      </c>
      <c r="AH20" s="54">
        <v>14.27</v>
      </c>
      <c r="AI20" s="55">
        <v>45</v>
      </c>
      <c r="AJ20" s="150"/>
      <c r="AK20" s="75">
        <f t="shared" si="9"/>
        <v>18</v>
      </c>
      <c r="AL20" s="54">
        <v>12.84</v>
      </c>
      <c r="AM20" s="55">
        <v>286</v>
      </c>
      <c r="AN20" s="150"/>
      <c r="AO20" s="75">
        <f t="shared" si="10"/>
        <v>18</v>
      </c>
      <c r="AP20" s="54">
        <v>12.84</v>
      </c>
      <c r="AQ20" s="55">
        <v>286</v>
      </c>
      <c r="AR20" s="150"/>
      <c r="AS20" s="75">
        <f t="shared" si="11"/>
        <v>18</v>
      </c>
      <c r="AT20" s="54">
        <v>22.9</v>
      </c>
      <c r="AU20" s="55">
        <v>157</v>
      </c>
      <c r="AV20" s="150"/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50"/>
      <c r="E21" s="75">
        <f t="shared" si="1"/>
        <v>19</v>
      </c>
      <c r="F21" s="54">
        <v>15.3</v>
      </c>
      <c r="G21" s="55">
        <v>160</v>
      </c>
      <c r="H21" s="150">
        <v>2.7777777777777776E-2</v>
      </c>
      <c r="I21" s="75">
        <f t="shared" si="2"/>
        <v>19</v>
      </c>
      <c r="J21" s="54">
        <v>30.5</v>
      </c>
      <c r="K21" s="55">
        <v>310</v>
      </c>
      <c r="L21" s="150"/>
      <c r="M21" s="75">
        <f t="shared" si="3"/>
        <v>19</v>
      </c>
      <c r="N21" s="54">
        <v>11.84</v>
      </c>
      <c r="O21" s="55">
        <v>80</v>
      </c>
      <c r="P21" s="150"/>
      <c r="Q21" s="75">
        <f t="shared" si="4"/>
        <v>19</v>
      </c>
      <c r="R21" s="54"/>
      <c r="S21" s="55"/>
      <c r="T21" s="150"/>
      <c r="U21" s="75">
        <f t="shared" si="5"/>
        <v>19</v>
      </c>
      <c r="V21" s="54"/>
      <c r="W21" s="55"/>
      <c r="X21" s="150">
        <v>2.0833333333333332E-2</v>
      </c>
      <c r="Y21" s="75">
        <f t="shared" si="6"/>
        <v>19</v>
      </c>
      <c r="Z21" s="54">
        <v>19.670000000000002</v>
      </c>
      <c r="AA21" s="55">
        <v>357</v>
      </c>
      <c r="AB21" s="150"/>
      <c r="AC21" s="75">
        <f t="shared" si="7"/>
        <v>19</v>
      </c>
      <c r="AD21" s="54"/>
      <c r="AE21" s="55"/>
      <c r="AF21" s="150"/>
      <c r="AG21" s="75">
        <f t="shared" si="8"/>
        <v>19</v>
      </c>
      <c r="AH21" s="54">
        <v>12</v>
      </c>
      <c r="AI21" s="55">
        <v>2</v>
      </c>
      <c r="AJ21" s="150"/>
      <c r="AK21" s="75">
        <f t="shared" si="9"/>
        <v>19</v>
      </c>
      <c r="AL21" s="54"/>
      <c r="AM21" s="55"/>
      <c r="AN21" s="150"/>
      <c r="AO21" s="75">
        <f t="shared" si="10"/>
        <v>19</v>
      </c>
      <c r="AP21" s="54">
        <v>32.900000000000006</v>
      </c>
      <c r="AQ21" s="55">
        <v>180</v>
      </c>
      <c r="AR21" s="150"/>
      <c r="AS21" s="75">
        <f t="shared" si="11"/>
        <v>19</v>
      </c>
      <c r="AT21" s="54">
        <v>9.1999999999999993</v>
      </c>
      <c r="AU21" s="55">
        <v>80</v>
      </c>
      <c r="AV21" s="150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50"/>
      <c r="E22" s="75">
        <f t="shared" si="1"/>
        <v>20</v>
      </c>
      <c r="F22" s="54"/>
      <c r="G22" s="55"/>
      <c r="H22" s="150"/>
      <c r="I22" s="75">
        <f t="shared" si="2"/>
        <v>20</v>
      </c>
      <c r="J22" s="54">
        <v>45.94</v>
      </c>
      <c r="K22" s="55">
        <v>508</v>
      </c>
      <c r="L22" s="150"/>
      <c r="M22" s="75">
        <f t="shared" si="3"/>
        <v>20</v>
      </c>
      <c r="N22" s="54">
        <v>30.05</v>
      </c>
      <c r="O22" s="55">
        <v>190</v>
      </c>
      <c r="P22" s="150"/>
      <c r="Q22" s="75">
        <f t="shared" si="4"/>
        <v>20</v>
      </c>
      <c r="R22" s="54">
        <v>24.4</v>
      </c>
      <c r="S22" s="55">
        <v>530</v>
      </c>
      <c r="T22" s="150"/>
      <c r="U22" s="75">
        <f t="shared" si="5"/>
        <v>20</v>
      </c>
      <c r="V22" s="54">
        <v>10.56</v>
      </c>
      <c r="W22" s="55">
        <v>70</v>
      </c>
      <c r="X22" s="150"/>
      <c r="Y22" s="75">
        <f t="shared" si="6"/>
        <v>20</v>
      </c>
      <c r="Z22" s="54"/>
      <c r="AA22" s="55"/>
      <c r="AB22" s="150"/>
      <c r="AC22" s="75">
        <f t="shared" si="7"/>
        <v>20</v>
      </c>
      <c r="AD22" s="54">
        <v>89.34</v>
      </c>
      <c r="AE22" s="55">
        <v>1220</v>
      </c>
      <c r="AF22" s="150"/>
      <c r="AG22" s="75">
        <f t="shared" si="8"/>
        <v>20</v>
      </c>
      <c r="AH22" s="54">
        <v>12.84</v>
      </c>
      <c r="AI22" s="55">
        <v>286</v>
      </c>
      <c r="AJ22" s="150"/>
      <c r="AK22" s="75">
        <f t="shared" si="9"/>
        <v>20</v>
      </c>
      <c r="AL22" s="54">
        <v>18.060000000000002</v>
      </c>
      <c r="AM22" s="55">
        <v>48</v>
      </c>
      <c r="AN22" s="150"/>
      <c r="AO22" s="75">
        <f t="shared" si="10"/>
        <v>20</v>
      </c>
      <c r="AP22" s="54">
        <v>15</v>
      </c>
      <c r="AQ22" s="55">
        <v>10</v>
      </c>
      <c r="AR22" s="150"/>
      <c r="AS22" s="75">
        <f t="shared" si="11"/>
        <v>20</v>
      </c>
      <c r="AT22" s="54"/>
      <c r="AU22" s="55"/>
      <c r="AV22" s="150"/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50"/>
      <c r="E23" s="75">
        <f t="shared" si="1"/>
        <v>21</v>
      </c>
      <c r="F23" s="54">
        <v>10</v>
      </c>
      <c r="G23" s="55">
        <v>2</v>
      </c>
      <c r="H23" s="150"/>
      <c r="I23" s="75">
        <f t="shared" si="2"/>
        <v>21</v>
      </c>
      <c r="J23" s="54">
        <v>18.739999999999998</v>
      </c>
      <c r="K23" s="55">
        <v>91</v>
      </c>
      <c r="L23" s="150"/>
      <c r="M23" s="75">
        <f t="shared" si="3"/>
        <v>21</v>
      </c>
      <c r="N23" s="54">
        <v>10</v>
      </c>
      <c r="O23" s="55">
        <v>80</v>
      </c>
      <c r="P23" s="150"/>
      <c r="Q23" s="75">
        <f t="shared" si="4"/>
        <v>21</v>
      </c>
      <c r="R23" s="54">
        <v>51.67</v>
      </c>
      <c r="S23" s="55">
        <v>1105</v>
      </c>
      <c r="T23" s="150"/>
      <c r="U23" s="75">
        <f t="shared" si="5"/>
        <v>21</v>
      </c>
      <c r="V23" s="54">
        <v>14.45</v>
      </c>
      <c r="W23" s="55">
        <v>140</v>
      </c>
      <c r="X23" s="150"/>
      <c r="Y23" s="75">
        <f t="shared" si="6"/>
        <v>21</v>
      </c>
      <c r="Z23" s="54"/>
      <c r="AA23" s="55"/>
      <c r="AB23" s="150">
        <v>2.0833333333333332E-2</v>
      </c>
      <c r="AC23" s="75">
        <f t="shared" si="7"/>
        <v>21</v>
      </c>
      <c r="AD23" s="54">
        <v>37.56</v>
      </c>
      <c r="AE23" s="55">
        <v>370</v>
      </c>
      <c r="AF23" s="150"/>
      <c r="AG23" s="75">
        <f t="shared" si="8"/>
        <v>21</v>
      </c>
      <c r="AH23" s="54">
        <v>17.66</v>
      </c>
      <c r="AI23" s="55">
        <v>419</v>
      </c>
      <c r="AJ23" s="150"/>
      <c r="AK23" s="75">
        <f t="shared" si="9"/>
        <v>21</v>
      </c>
      <c r="AL23" s="54">
        <v>15.3</v>
      </c>
      <c r="AM23" s="55">
        <v>220</v>
      </c>
      <c r="AN23" s="150"/>
      <c r="AO23" s="75">
        <f t="shared" si="10"/>
        <v>21</v>
      </c>
      <c r="AP23" s="54">
        <v>10.3</v>
      </c>
      <c r="AQ23" s="55">
        <v>60</v>
      </c>
      <c r="AR23" s="150"/>
      <c r="AS23" s="75">
        <f t="shared" si="11"/>
        <v>21</v>
      </c>
      <c r="AT23" s="54"/>
      <c r="AU23" s="55"/>
      <c r="AV23" s="150"/>
      <c r="AW23" s="67"/>
    </row>
    <row r="24" spans="1:49" s="49" customFormat="1" ht="11.25" x14ac:dyDescent="0.2">
      <c r="A24" s="73">
        <f t="shared" si="0"/>
        <v>22</v>
      </c>
      <c r="B24" s="54">
        <v>31.9</v>
      </c>
      <c r="C24" s="55">
        <v>210</v>
      </c>
      <c r="D24" s="150"/>
      <c r="E24" s="75">
        <f t="shared" si="1"/>
        <v>22</v>
      </c>
      <c r="F24" s="54">
        <v>20.56</v>
      </c>
      <c r="G24" s="55">
        <v>70</v>
      </c>
      <c r="H24" s="150"/>
      <c r="I24" s="75">
        <f t="shared" si="2"/>
        <v>22</v>
      </c>
      <c r="J24" s="54">
        <v>11</v>
      </c>
      <c r="K24" s="55">
        <v>20</v>
      </c>
      <c r="L24" s="150"/>
      <c r="M24" s="75">
        <f t="shared" si="3"/>
        <v>22</v>
      </c>
      <c r="N24" s="54">
        <v>90.44</v>
      </c>
      <c r="O24" s="55">
        <v>989</v>
      </c>
      <c r="P24" s="150"/>
      <c r="Q24" s="75">
        <f t="shared" si="4"/>
        <v>22</v>
      </c>
      <c r="R24" s="54">
        <v>60.2</v>
      </c>
      <c r="S24" s="49">
        <v>696</v>
      </c>
      <c r="T24" s="150"/>
      <c r="U24" s="75">
        <f t="shared" si="5"/>
        <v>22</v>
      </c>
      <c r="V24" s="54">
        <v>55.66</v>
      </c>
      <c r="W24" s="55">
        <v>670</v>
      </c>
      <c r="X24" s="150"/>
      <c r="Y24" s="75">
        <f t="shared" si="6"/>
        <v>22</v>
      </c>
      <c r="Z24" s="54">
        <v>16.850000000000001</v>
      </c>
      <c r="AA24" s="55">
        <v>536</v>
      </c>
      <c r="AB24" s="150"/>
      <c r="AC24" s="75">
        <f t="shared" si="7"/>
        <v>22</v>
      </c>
      <c r="AD24" s="54">
        <v>28.2</v>
      </c>
      <c r="AE24" s="55">
        <v>400</v>
      </c>
      <c r="AF24" s="150"/>
      <c r="AG24" s="75">
        <f t="shared" si="8"/>
        <v>22</v>
      </c>
      <c r="AH24" s="54">
        <v>10</v>
      </c>
      <c r="AI24" s="55">
        <v>13</v>
      </c>
      <c r="AJ24" s="150"/>
      <c r="AK24" s="75">
        <f t="shared" si="9"/>
        <v>22</v>
      </c>
      <c r="AL24" s="54">
        <v>48.48</v>
      </c>
      <c r="AM24" s="55">
        <v>510</v>
      </c>
      <c r="AN24" s="150"/>
      <c r="AO24" s="75">
        <f t="shared" si="10"/>
        <v>22</v>
      </c>
      <c r="AP24" s="54">
        <v>10.6</v>
      </c>
      <c r="AQ24" s="55">
        <v>40</v>
      </c>
      <c r="AR24" s="150"/>
      <c r="AS24" s="75">
        <f t="shared" si="11"/>
        <v>22</v>
      </c>
      <c r="AT24" s="54"/>
      <c r="AU24" s="55"/>
      <c r="AV24" s="150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50">
        <v>4.1666666666666664E-2</v>
      </c>
      <c r="E25" s="75">
        <f t="shared" si="1"/>
        <v>23</v>
      </c>
      <c r="F25" s="54"/>
      <c r="G25" s="55"/>
      <c r="H25" s="150"/>
      <c r="I25" s="75">
        <f t="shared" si="2"/>
        <v>23</v>
      </c>
      <c r="J25" s="54">
        <v>17</v>
      </c>
      <c r="K25" s="55">
        <v>26</v>
      </c>
      <c r="L25" s="150"/>
      <c r="M25" s="75">
        <f t="shared" si="3"/>
        <v>23</v>
      </c>
      <c r="N25" s="54">
        <v>62.42</v>
      </c>
      <c r="O25" s="55">
        <v>816</v>
      </c>
      <c r="P25" s="150"/>
      <c r="Q25" s="75">
        <f t="shared" si="4"/>
        <v>23</v>
      </c>
      <c r="R25" s="54">
        <v>11</v>
      </c>
      <c r="S25" s="55">
        <v>20</v>
      </c>
      <c r="T25" s="150"/>
      <c r="U25" s="75">
        <f t="shared" si="5"/>
        <v>23</v>
      </c>
      <c r="V25" s="54">
        <v>47.7</v>
      </c>
      <c r="W25" s="55">
        <v>582</v>
      </c>
      <c r="X25" s="150"/>
      <c r="Y25" s="75">
        <f t="shared" si="6"/>
        <v>23</v>
      </c>
      <c r="Z25" s="54">
        <v>62.42</v>
      </c>
      <c r="AA25" s="55">
        <v>843</v>
      </c>
      <c r="AB25" s="150"/>
      <c r="AC25" s="75">
        <f t="shared" si="7"/>
        <v>23</v>
      </c>
      <c r="AD25" s="54">
        <v>12.61</v>
      </c>
      <c r="AE25" s="55">
        <v>320</v>
      </c>
      <c r="AF25" s="150"/>
      <c r="AG25" s="75">
        <f t="shared" si="8"/>
        <v>23</v>
      </c>
      <c r="AH25" s="54">
        <v>19.649999999999999</v>
      </c>
      <c r="AI25" s="55">
        <v>281</v>
      </c>
      <c r="AJ25" s="150"/>
      <c r="AK25" s="75">
        <f t="shared" si="9"/>
        <v>23</v>
      </c>
      <c r="AL25" s="54">
        <v>40.06</v>
      </c>
      <c r="AM25" s="55">
        <v>152</v>
      </c>
      <c r="AN25" s="150"/>
      <c r="AO25" s="75">
        <f t="shared" si="10"/>
        <v>23</v>
      </c>
      <c r="AP25" s="54">
        <v>10.6</v>
      </c>
      <c r="AQ25" s="55">
        <v>40</v>
      </c>
      <c r="AR25" s="150"/>
      <c r="AS25" s="75">
        <f t="shared" si="11"/>
        <v>23</v>
      </c>
      <c r="AT25" s="54">
        <v>16</v>
      </c>
      <c r="AU25" s="55">
        <v>182</v>
      </c>
      <c r="AV25" s="150"/>
      <c r="AW25" s="67"/>
    </row>
    <row r="26" spans="1:49" s="49" customFormat="1" ht="11.25" x14ac:dyDescent="0.2">
      <c r="A26" s="73">
        <f t="shared" si="0"/>
        <v>24</v>
      </c>
      <c r="B26" s="54"/>
      <c r="C26" s="55"/>
      <c r="D26" s="150"/>
      <c r="E26" s="75">
        <f t="shared" si="1"/>
        <v>24</v>
      </c>
      <c r="F26" s="54">
        <v>20.74</v>
      </c>
      <c r="G26" s="55">
        <v>15</v>
      </c>
      <c r="H26" s="150"/>
      <c r="I26" s="75">
        <f t="shared" si="2"/>
        <v>24</v>
      </c>
      <c r="J26" s="54">
        <v>20.05</v>
      </c>
      <c r="K26" s="55">
        <v>55</v>
      </c>
      <c r="L26" s="150"/>
      <c r="M26" s="75">
        <f t="shared" si="3"/>
        <v>24</v>
      </c>
      <c r="N26" s="54">
        <v>80.13</v>
      </c>
      <c r="O26" s="55">
        <v>55</v>
      </c>
      <c r="P26" s="150"/>
      <c r="Q26" s="75">
        <f t="shared" si="4"/>
        <v>24</v>
      </c>
      <c r="R26" s="54">
        <v>11</v>
      </c>
      <c r="S26" s="55">
        <v>20</v>
      </c>
      <c r="T26" s="150"/>
      <c r="U26" s="75">
        <f t="shared" si="5"/>
        <v>24</v>
      </c>
      <c r="V26" s="54">
        <v>35.67</v>
      </c>
      <c r="W26" s="55">
        <v>244</v>
      </c>
      <c r="X26" s="150"/>
      <c r="Y26" s="75">
        <f t="shared" si="6"/>
        <v>24</v>
      </c>
      <c r="Z26" s="54">
        <v>14.45</v>
      </c>
      <c r="AA26" s="55">
        <v>140</v>
      </c>
      <c r="AB26" s="150"/>
      <c r="AC26" s="75">
        <f t="shared" si="7"/>
        <v>24</v>
      </c>
      <c r="AD26" s="54">
        <v>17</v>
      </c>
      <c r="AE26" s="55">
        <v>370</v>
      </c>
      <c r="AF26" s="150"/>
      <c r="AG26" s="75">
        <f t="shared" si="8"/>
        <v>24</v>
      </c>
      <c r="AH26" s="54">
        <v>85</v>
      </c>
      <c r="AI26" s="55">
        <v>2200</v>
      </c>
      <c r="AJ26" s="150"/>
      <c r="AK26" s="75">
        <f t="shared" si="9"/>
        <v>24</v>
      </c>
      <c r="AL26" s="54">
        <v>19.649999999999999</v>
      </c>
      <c r="AM26" s="55">
        <v>281</v>
      </c>
      <c r="AN26" s="150"/>
      <c r="AO26" s="75">
        <f t="shared" si="10"/>
        <v>24</v>
      </c>
      <c r="AP26" s="54">
        <v>13.55</v>
      </c>
      <c r="AQ26" s="55">
        <v>55</v>
      </c>
      <c r="AR26" s="150"/>
      <c r="AS26" s="75">
        <f t="shared" si="11"/>
        <v>24</v>
      </c>
      <c r="AT26" s="54">
        <v>12.84</v>
      </c>
      <c r="AU26" s="55">
        <v>286</v>
      </c>
      <c r="AV26" s="150"/>
      <c r="AW26" s="67"/>
    </row>
    <row r="27" spans="1:49" s="49" customFormat="1" ht="11.25" x14ac:dyDescent="0.2">
      <c r="A27" s="73">
        <f t="shared" si="0"/>
        <v>25</v>
      </c>
      <c r="B27" s="54"/>
      <c r="C27" s="55"/>
      <c r="D27" s="150"/>
      <c r="E27" s="75">
        <f t="shared" si="1"/>
        <v>25</v>
      </c>
      <c r="F27" s="54">
        <v>29.55</v>
      </c>
      <c r="G27" s="55">
        <v>190</v>
      </c>
      <c r="H27" s="150"/>
      <c r="I27" s="75">
        <f t="shared" si="2"/>
        <v>25</v>
      </c>
      <c r="J27" s="54">
        <v>14.45</v>
      </c>
      <c r="K27" s="55">
        <v>140</v>
      </c>
      <c r="L27" s="150"/>
      <c r="M27" s="75">
        <f t="shared" si="3"/>
        <v>25</v>
      </c>
      <c r="N27" s="54">
        <v>62.33</v>
      </c>
      <c r="O27" s="55">
        <v>620</v>
      </c>
      <c r="P27" s="150"/>
      <c r="Q27" s="75">
        <f t="shared" si="4"/>
        <v>25</v>
      </c>
      <c r="R27" s="54">
        <v>10.56</v>
      </c>
      <c r="S27" s="55">
        <v>70</v>
      </c>
      <c r="T27" s="150"/>
      <c r="U27" s="75">
        <f t="shared" si="5"/>
        <v>25</v>
      </c>
      <c r="V27" s="54">
        <v>17.2</v>
      </c>
      <c r="W27" s="55">
        <v>417</v>
      </c>
      <c r="X27" s="150"/>
      <c r="Y27" s="75">
        <f t="shared" si="6"/>
        <v>25</v>
      </c>
      <c r="Z27" s="54">
        <v>20.56</v>
      </c>
      <c r="AA27" s="55">
        <v>90</v>
      </c>
      <c r="AB27" s="150"/>
      <c r="AC27" s="75">
        <f t="shared" si="7"/>
        <v>25</v>
      </c>
      <c r="AD27" s="54">
        <v>13.65</v>
      </c>
      <c r="AE27" s="55">
        <v>54</v>
      </c>
      <c r="AF27" s="150"/>
      <c r="AG27" s="75">
        <f t="shared" si="8"/>
        <v>25</v>
      </c>
      <c r="AH27" s="54">
        <v>28.72</v>
      </c>
      <c r="AI27" s="55">
        <v>185</v>
      </c>
      <c r="AJ27" s="150"/>
      <c r="AK27" s="75">
        <f t="shared" si="9"/>
        <v>25</v>
      </c>
      <c r="AL27" s="54"/>
      <c r="AM27" s="55"/>
      <c r="AN27" s="150"/>
      <c r="AO27" s="75">
        <f t="shared" si="10"/>
        <v>25</v>
      </c>
      <c r="AP27" s="54"/>
      <c r="AQ27" s="55"/>
      <c r="AR27" s="150"/>
      <c r="AS27" s="75">
        <f t="shared" si="11"/>
        <v>25</v>
      </c>
      <c r="AT27" s="54">
        <v>11.2</v>
      </c>
      <c r="AU27" s="55">
        <v>37</v>
      </c>
      <c r="AV27" s="150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50"/>
      <c r="E28" s="75">
        <f t="shared" si="1"/>
        <v>26</v>
      </c>
      <c r="F28" s="54">
        <v>65.12</v>
      </c>
      <c r="G28" s="55">
        <v>591</v>
      </c>
      <c r="H28" s="150"/>
      <c r="I28" s="75">
        <f t="shared" si="2"/>
        <v>26</v>
      </c>
      <c r="J28" s="54">
        <v>21.2</v>
      </c>
      <c r="K28" s="55">
        <v>30</v>
      </c>
      <c r="L28" s="150"/>
      <c r="M28" s="75">
        <f t="shared" si="3"/>
        <v>26</v>
      </c>
      <c r="N28" s="54"/>
      <c r="O28" s="55"/>
      <c r="P28" s="150"/>
      <c r="Q28" s="75">
        <f t="shared" si="4"/>
        <v>26</v>
      </c>
      <c r="R28" s="54"/>
      <c r="S28" s="55"/>
      <c r="T28" s="150"/>
      <c r="U28" s="75">
        <f t="shared" si="5"/>
        <v>26</v>
      </c>
      <c r="V28" s="54">
        <v>35.25</v>
      </c>
      <c r="W28" s="55">
        <v>234</v>
      </c>
      <c r="X28" s="150"/>
      <c r="Y28" s="75">
        <f t="shared" si="6"/>
        <v>26</v>
      </c>
      <c r="Z28" s="54">
        <v>19.5</v>
      </c>
      <c r="AA28" s="55">
        <v>110</v>
      </c>
      <c r="AB28" s="150"/>
      <c r="AC28" s="75">
        <f t="shared" si="7"/>
        <v>26</v>
      </c>
      <c r="AD28" s="54">
        <v>13.6</v>
      </c>
      <c r="AE28" s="55">
        <v>10</v>
      </c>
      <c r="AF28" s="150"/>
      <c r="AG28" s="75">
        <f t="shared" si="8"/>
        <v>26</v>
      </c>
      <c r="AH28" s="54">
        <v>17.66</v>
      </c>
      <c r="AI28" s="55">
        <v>419</v>
      </c>
      <c r="AJ28" s="150"/>
      <c r="AK28" s="75">
        <f t="shared" si="9"/>
        <v>26</v>
      </c>
      <c r="AL28" s="54">
        <v>10.3</v>
      </c>
      <c r="AM28" s="55">
        <v>60</v>
      </c>
      <c r="AN28" s="150"/>
      <c r="AO28" s="75">
        <f t="shared" si="10"/>
        <v>26</v>
      </c>
      <c r="AP28" s="54"/>
      <c r="AQ28" s="55"/>
      <c r="AR28" s="150"/>
      <c r="AS28" s="75">
        <f t="shared" si="11"/>
        <v>26</v>
      </c>
      <c r="AT28" s="54">
        <v>29.6</v>
      </c>
      <c r="AU28" s="55">
        <v>320</v>
      </c>
      <c r="AV28" s="150"/>
      <c r="AW28" s="67"/>
    </row>
    <row r="29" spans="1:49" s="49" customFormat="1" ht="11.25" x14ac:dyDescent="0.2">
      <c r="A29" s="73">
        <f t="shared" si="0"/>
        <v>27</v>
      </c>
      <c r="B29" s="54">
        <v>10</v>
      </c>
      <c r="C29" s="55">
        <v>2</v>
      </c>
      <c r="D29" s="150"/>
      <c r="E29" s="75">
        <f t="shared" si="1"/>
        <v>27</v>
      </c>
      <c r="F29" s="54"/>
      <c r="G29" s="55"/>
      <c r="H29" s="150"/>
      <c r="I29" s="75">
        <f t="shared" si="2"/>
        <v>27</v>
      </c>
      <c r="J29" s="54">
        <v>39</v>
      </c>
      <c r="K29" s="55">
        <v>190</v>
      </c>
      <c r="L29" s="150"/>
      <c r="M29" s="75">
        <f t="shared" si="3"/>
        <v>27</v>
      </c>
      <c r="N29" s="54"/>
      <c r="O29" s="55"/>
      <c r="P29" s="150"/>
      <c r="Q29" s="75">
        <f t="shared" si="4"/>
        <v>27</v>
      </c>
      <c r="R29" s="54">
        <v>10</v>
      </c>
      <c r="S29" s="55">
        <v>20</v>
      </c>
      <c r="T29" s="150"/>
      <c r="U29" s="75">
        <f t="shared" si="5"/>
        <v>27</v>
      </c>
      <c r="V29" s="54">
        <v>57.6</v>
      </c>
      <c r="W29" s="55">
        <v>1033</v>
      </c>
      <c r="X29" s="150"/>
      <c r="Y29" s="75">
        <f t="shared" si="6"/>
        <v>27</v>
      </c>
      <c r="Z29" s="54">
        <v>10.1</v>
      </c>
      <c r="AA29" s="55">
        <v>306</v>
      </c>
      <c r="AB29" s="150"/>
      <c r="AC29" s="75">
        <f t="shared" si="7"/>
        <v>27</v>
      </c>
      <c r="AD29" s="54">
        <v>15.2</v>
      </c>
      <c r="AE29" s="55">
        <v>50</v>
      </c>
      <c r="AF29" s="150"/>
      <c r="AG29" s="75">
        <f t="shared" si="8"/>
        <v>27</v>
      </c>
      <c r="AH29" s="54">
        <v>19.420000000000002</v>
      </c>
      <c r="AI29" s="55">
        <v>191</v>
      </c>
      <c r="AJ29" s="150"/>
      <c r="AK29" s="75">
        <f t="shared" si="9"/>
        <v>27</v>
      </c>
      <c r="AL29" s="54">
        <v>10.3</v>
      </c>
      <c r="AM29" s="55">
        <v>60</v>
      </c>
      <c r="AN29" s="150"/>
      <c r="AO29" s="75">
        <f t="shared" si="10"/>
        <v>27</v>
      </c>
      <c r="AP29" s="54"/>
      <c r="AQ29" s="55"/>
      <c r="AR29" s="150"/>
      <c r="AS29" s="75">
        <f t="shared" si="11"/>
        <v>27</v>
      </c>
      <c r="AT29" s="54">
        <v>11.35</v>
      </c>
      <c r="AU29" s="55">
        <v>120</v>
      </c>
      <c r="AV29" s="150"/>
      <c r="AW29" s="67"/>
    </row>
    <row r="30" spans="1:49" s="49" customFormat="1" ht="11.25" x14ac:dyDescent="0.2">
      <c r="A30" s="73">
        <f t="shared" si="0"/>
        <v>28</v>
      </c>
      <c r="B30" s="54">
        <v>11.2</v>
      </c>
      <c r="C30" s="55">
        <v>11</v>
      </c>
      <c r="D30" s="150"/>
      <c r="E30" s="75">
        <f t="shared" si="1"/>
        <v>28</v>
      </c>
      <c r="F30" s="54">
        <v>16</v>
      </c>
      <c r="G30" s="55">
        <v>65</v>
      </c>
      <c r="H30" s="150"/>
      <c r="I30" s="75">
        <f t="shared" si="2"/>
        <v>28</v>
      </c>
      <c r="J30" s="54"/>
      <c r="K30" s="55"/>
      <c r="L30" s="150"/>
      <c r="M30" s="75">
        <f t="shared" si="3"/>
        <v>28</v>
      </c>
      <c r="N30" s="54">
        <v>15.87</v>
      </c>
      <c r="O30" s="55">
        <v>85</v>
      </c>
      <c r="P30" s="150"/>
      <c r="Q30" s="75">
        <f t="shared" si="4"/>
        <v>28</v>
      </c>
      <c r="R30" s="54">
        <v>25.96</v>
      </c>
      <c r="S30" s="55">
        <v>100</v>
      </c>
      <c r="T30" s="150"/>
      <c r="U30" s="75">
        <f t="shared" si="5"/>
        <v>28</v>
      </c>
      <c r="V30" s="54">
        <v>42.6</v>
      </c>
      <c r="W30" s="55">
        <v>437</v>
      </c>
      <c r="X30" s="150"/>
      <c r="Y30" s="75">
        <f t="shared" si="6"/>
        <v>28</v>
      </c>
      <c r="Z30" s="54">
        <v>12.71</v>
      </c>
      <c r="AA30" s="55">
        <v>268</v>
      </c>
      <c r="AB30" s="150"/>
      <c r="AC30" s="75">
        <f t="shared" si="7"/>
        <v>28</v>
      </c>
      <c r="AD30" s="54">
        <v>52.39</v>
      </c>
      <c r="AE30" s="55">
        <v>735</v>
      </c>
      <c r="AF30" s="150"/>
      <c r="AG30" s="75">
        <f t="shared" si="8"/>
        <v>28</v>
      </c>
      <c r="AH30" s="54">
        <v>14.27</v>
      </c>
      <c r="AI30" s="55">
        <v>45</v>
      </c>
      <c r="AJ30" s="150"/>
      <c r="AK30" s="75">
        <f t="shared" si="9"/>
        <v>28</v>
      </c>
      <c r="AL30" s="54">
        <v>14.4</v>
      </c>
      <c r="AM30" s="55">
        <v>200</v>
      </c>
      <c r="AN30" s="150"/>
      <c r="AO30" s="75">
        <f t="shared" si="10"/>
        <v>28</v>
      </c>
      <c r="AP30" s="54"/>
      <c r="AQ30" s="55"/>
      <c r="AR30" s="150"/>
      <c r="AS30" s="75">
        <f t="shared" si="11"/>
        <v>28</v>
      </c>
      <c r="AT30" s="54">
        <v>11.5</v>
      </c>
      <c r="AU30" s="55">
        <v>130</v>
      </c>
      <c r="AV30" s="150"/>
      <c r="AW30" s="67"/>
    </row>
    <row r="31" spans="1:49" s="49" customFormat="1" ht="11.25" x14ac:dyDescent="0.2">
      <c r="A31" s="73">
        <f t="shared" si="0"/>
        <v>29</v>
      </c>
      <c r="B31" s="54">
        <v>30.03</v>
      </c>
      <c r="C31" s="55">
        <v>10</v>
      </c>
      <c r="D31" s="150"/>
      <c r="E31" s="75"/>
      <c r="F31" s="54"/>
      <c r="G31" s="55"/>
      <c r="H31" s="150"/>
      <c r="I31" s="75">
        <f t="shared" si="2"/>
        <v>29</v>
      </c>
      <c r="J31" s="54"/>
      <c r="K31" s="55"/>
      <c r="L31" s="150">
        <v>4.3055555555555562E-2</v>
      </c>
      <c r="M31" s="75">
        <f t="shared" si="3"/>
        <v>29</v>
      </c>
      <c r="N31" s="54"/>
      <c r="O31" s="55"/>
      <c r="P31" s="150">
        <v>2.0833333333333332E-2</v>
      </c>
      <c r="Q31" s="75">
        <f t="shared" si="4"/>
        <v>29</v>
      </c>
      <c r="R31" s="54">
        <v>96.42</v>
      </c>
      <c r="S31" s="55">
        <v>1385</v>
      </c>
      <c r="T31" s="150"/>
      <c r="U31" s="75">
        <f t="shared" si="5"/>
        <v>29</v>
      </c>
      <c r="V31" s="54">
        <v>42.48</v>
      </c>
      <c r="W31" s="55">
        <v>460</v>
      </c>
      <c r="X31" s="150"/>
      <c r="Y31" s="75">
        <f t="shared" si="6"/>
        <v>29</v>
      </c>
      <c r="Z31" s="54">
        <v>30.3</v>
      </c>
      <c r="AA31" s="55">
        <v>360</v>
      </c>
      <c r="AB31" s="150"/>
      <c r="AC31" s="75">
        <f t="shared" si="7"/>
        <v>29</v>
      </c>
      <c r="AD31" s="54">
        <v>12.7</v>
      </c>
      <c r="AE31" s="55">
        <v>295</v>
      </c>
      <c r="AF31" s="150"/>
      <c r="AG31" s="75">
        <f t="shared" si="8"/>
        <v>29</v>
      </c>
      <c r="AH31" s="54">
        <v>28.33</v>
      </c>
      <c r="AI31" s="55">
        <v>210</v>
      </c>
      <c r="AJ31" s="150"/>
      <c r="AK31" s="75">
        <f t="shared" si="9"/>
        <v>29</v>
      </c>
      <c r="AL31" s="54">
        <v>10.6</v>
      </c>
      <c r="AM31" s="55">
        <v>310</v>
      </c>
      <c r="AN31" s="150"/>
      <c r="AO31" s="75">
        <f t="shared" si="10"/>
        <v>29</v>
      </c>
      <c r="AP31" s="54">
        <v>12</v>
      </c>
      <c r="AQ31" s="55">
        <v>8</v>
      </c>
      <c r="AR31" s="150"/>
      <c r="AS31" s="75">
        <f t="shared" si="11"/>
        <v>29</v>
      </c>
      <c r="AT31" s="54">
        <v>19.399999999999999</v>
      </c>
      <c r="AU31" s="55">
        <v>200</v>
      </c>
      <c r="AV31" s="150"/>
      <c r="AW31" s="67"/>
    </row>
    <row r="32" spans="1:49" s="49" customFormat="1" ht="11.25" x14ac:dyDescent="0.2">
      <c r="A32" s="73">
        <f t="shared" si="0"/>
        <v>30</v>
      </c>
      <c r="B32" s="54">
        <v>17.29</v>
      </c>
      <c r="C32" s="55">
        <v>60</v>
      </c>
      <c r="D32" s="150"/>
      <c r="E32" s="75"/>
      <c r="F32" s="54"/>
      <c r="G32" s="55"/>
      <c r="H32" s="150"/>
      <c r="I32" s="75">
        <f t="shared" si="2"/>
        <v>30</v>
      </c>
      <c r="J32" s="54"/>
      <c r="K32" s="55"/>
      <c r="L32" s="150"/>
      <c r="M32" s="75">
        <f t="shared" si="3"/>
        <v>30</v>
      </c>
      <c r="N32" s="54">
        <v>41.97</v>
      </c>
      <c r="O32" s="55">
        <v>774</v>
      </c>
      <c r="P32" s="150"/>
      <c r="Q32" s="75">
        <f t="shared" si="4"/>
        <v>30</v>
      </c>
      <c r="R32" s="54"/>
      <c r="S32" s="55"/>
      <c r="T32" s="150"/>
      <c r="U32" s="75">
        <f t="shared" si="5"/>
        <v>30</v>
      </c>
      <c r="V32" s="54">
        <v>39.08</v>
      </c>
      <c r="W32" s="55">
        <v>500</v>
      </c>
      <c r="X32" s="150"/>
      <c r="Y32" s="75">
        <f t="shared" si="6"/>
        <v>30</v>
      </c>
      <c r="Z32" s="54">
        <v>41.5</v>
      </c>
      <c r="AA32" s="55">
        <v>201</v>
      </c>
      <c r="AB32" s="150"/>
      <c r="AC32" s="75">
        <f t="shared" si="7"/>
        <v>30</v>
      </c>
      <c r="AD32" s="54">
        <v>12.7</v>
      </c>
      <c r="AE32" s="55">
        <v>295</v>
      </c>
      <c r="AF32" s="150"/>
      <c r="AG32" s="75">
        <f t="shared" si="8"/>
        <v>30</v>
      </c>
      <c r="AH32" s="54">
        <v>25.49</v>
      </c>
      <c r="AI32" s="55">
        <v>440</v>
      </c>
      <c r="AJ32" s="150"/>
      <c r="AK32" s="75">
        <f t="shared" si="9"/>
        <v>30</v>
      </c>
      <c r="AL32" s="54">
        <v>12.6</v>
      </c>
      <c r="AM32" s="55">
        <v>315</v>
      </c>
      <c r="AN32" s="150">
        <v>8.3333333333333329E-2</v>
      </c>
      <c r="AO32" s="75">
        <f t="shared" si="10"/>
        <v>30</v>
      </c>
      <c r="AP32" s="54">
        <v>13.3</v>
      </c>
      <c r="AQ32" s="55">
        <v>62</v>
      </c>
      <c r="AR32" s="150"/>
      <c r="AS32" s="75">
        <f t="shared" si="11"/>
        <v>30</v>
      </c>
      <c r="AT32" s="54"/>
      <c r="AU32" s="55"/>
      <c r="AV32" s="150"/>
      <c r="AW32" s="67"/>
    </row>
    <row r="33" spans="1:49" s="49" customFormat="1" ht="11.25" x14ac:dyDescent="0.2">
      <c r="A33" s="74">
        <f t="shared" si="0"/>
        <v>31</v>
      </c>
      <c r="B33" s="62">
        <v>10.199999999999999</v>
      </c>
      <c r="C33" s="63">
        <v>16</v>
      </c>
      <c r="D33" s="151"/>
      <c r="E33" s="76"/>
      <c r="F33" s="62"/>
      <c r="G33" s="63"/>
      <c r="H33" s="151"/>
      <c r="I33" s="76">
        <f t="shared" si="2"/>
        <v>31</v>
      </c>
      <c r="J33" s="62"/>
      <c r="K33" s="63"/>
      <c r="L33" s="151">
        <v>2.7777777777777776E-2</v>
      </c>
      <c r="M33" s="76"/>
      <c r="N33" s="62"/>
      <c r="O33" s="63"/>
      <c r="P33" s="151"/>
      <c r="Q33" s="76">
        <f t="shared" si="4"/>
        <v>31</v>
      </c>
      <c r="R33" s="62"/>
      <c r="S33" s="63"/>
      <c r="T33" s="151"/>
      <c r="U33" s="76"/>
      <c r="V33" s="62"/>
      <c r="W33" s="63"/>
      <c r="X33" s="151"/>
      <c r="Y33" s="76">
        <f t="shared" si="6"/>
        <v>31</v>
      </c>
      <c r="Z33" s="62">
        <v>27.7</v>
      </c>
      <c r="AA33" s="63">
        <v>138</v>
      </c>
      <c r="AB33" s="151"/>
      <c r="AC33" s="76">
        <f t="shared" si="7"/>
        <v>31</v>
      </c>
      <c r="AD33" s="62">
        <v>17.559999999999999</v>
      </c>
      <c r="AE33" s="63">
        <v>394</v>
      </c>
      <c r="AF33" s="151"/>
      <c r="AG33" s="76"/>
      <c r="AH33" s="62"/>
      <c r="AI33" s="63"/>
      <c r="AJ33" s="151"/>
      <c r="AK33" s="76">
        <f t="shared" si="9"/>
        <v>31</v>
      </c>
      <c r="AL33" s="62">
        <v>14.6</v>
      </c>
      <c r="AM33" s="63">
        <v>320</v>
      </c>
      <c r="AN33" s="151"/>
      <c r="AO33" s="76"/>
      <c r="AP33" s="62"/>
      <c r="AQ33" s="63"/>
      <c r="AR33" s="151"/>
      <c r="AS33" s="76">
        <f t="shared" si="11"/>
        <v>31</v>
      </c>
      <c r="AT33" s="62"/>
      <c r="AU33" s="63"/>
      <c r="AV33" s="151"/>
      <c r="AW33" s="67"/>
    </row>
    <row r="34" spans="1:49" s="49" customFormat="1" ht="11.25" x14ac:dyDescent="0.2">
      <c r="A34" s="45" t="s">
        <v>92</v>
      </c>
      <c r="B34" s="47">
        <f>SUM(B3:B33)</f>
        <v>241.00999999999996</v>
      </c>
      <c r="C34" s="48">
        <f>SUM(C3:C33)</f>
        <v>1799</v>
      </c>
      <c r="D34" s="79">
        <f>(SUM(D3:D33)/D39)*C39</f>
        <v>118</v>
      </c>
      <c r="E34" s="65"/>
      <c r="F34" s="47">
        <f>SUM(F3:F33)</f>
        <v>340.89000000000004</v>
      </c>
      <c r="G34" s="48">
        <f>SUM(G3:G33)</f>
        <v>3236</v>
      </c>
      <c r="H34" s="79">
        <f>(SUM(H3:H33)/D39)*C39</f>
        <v>40</v>
      </c>
      <c r="I34" s="65"/>
      <c r="J34" s="47">
        <f>SUM(J3:J33)</f>
        <v>398.23</v>
      </c>
      <c r="K34" s="48">
        <f>SUM(K3:K33)</f>
        <v>2973</v>
      </c>
      <c r="L34" s="79">
        <f>(SUM(L3:L33)/D39)*C39</f>
        <v>40.799999999999997</v>
      </c>
      <c r="M34" s="77"/>
      <c r="N34" s="47">
        <f>SUM(N3:N33)</f>
        <v>824.66000000000008</v>
      </c>
      <c r="O34" s="48">
        <f>SUM(O3:O33)</f>
        <v>7643</v>
      </c>
      <c r="P34" s="79">
        <f>(SUM(P3:P33)/D39)*C39</f>
        <v>12</v>
      </c>
      <c r="Q34" s="65"/>
      <c r="R34" s="47">
        <f>SUM(R3:R33)</f>
        <v>654.67999999999995</v>
      </c>
      <c r="S34" s="48">
        <f>SUM(S3:S33)</f>
        <v>7494</v>
      </c>
      <c r="T34" s="79">
        <f>(SUM(T3:T33)/D39)*C39</f>
        <v>0</v>
      </c>
      <c r="U34" s="65"/>
      <c r="V34" s="47">
        <f>SUM(V3:V33)</f>
        <v>902.05000000000018</v>
      </c>
      <c r="W34" s="48">
        <f>SUM(W3:W33)</f>
        <v>12610</v>
      </c>
      <c r="X34" s="79">
        <f>(SUM(X3:X33)/D39)*C39</f>
        <v>12</v>
      </c>
      <c r="Y34" s="65"/>
      <c r="Z34" s="47">
        <f>SUM(Z3:Z33)</f>
        <v>606.12000000000012</v>
      </c>
      <c r="AA34" s="48">
        <f>SUM(AA3:AA33)</f>
        <v>6639</v>
      </c>
      <c r="AB34" s="79">
        <f>(SUM(AB3:AB33)/D39)*C39</f>
        <v>12</v>
      </c>
      <c r="AC34" s="65"/>
      <c r="AD34" s="47">
        <f>SUM(AD3:AD33)</f>
        <v>772.28</v>
      </c>
      <c r="AE34" s="48">
        <f>SUM(AE3:AE33)</f>
        <v>8881</v>
      </c>
      <c r="AF34" s="79">
        <f>(SUM(AF3:AF33)/D39)*C39</f>
        <v>0</v>
      </c>
      <c r="AG34" s="65"/>
      <c r="AH34" s="47">
        <f>SUM(AH3:AH33)</f>
        <v>520.93999999999994</v>
      </c>
      <c r="AI34" s="48">
        <f>SUM(AI3:AI33)</f>
        <v>8244</v>
      </c>
      <c r="AJ34" s="79">
        <f>(SUM(AJ3:AJ33)/D39)*C39</f>
        <v>0</v>
      </c>
      <c r="AK34" s="65"/>
      <c r="AL34" s="47">
        <f>SUM(AL3:AL33)</f>
        <v>692.78999999999985</v>
      </c>
      <c r="AM34" s="48">
        <f>SUM(AM3:AM33)</f>
        <v>7737</v>
      </c>
      <c r="AN34" s="79">
        <f>(SUM(AN3:AN33)/D39)*C39</f>
        <v>60</v>
      </c>
      <c r="AO34" s="65"/>
      <c r="AP34" s="47">
        <f>SUM(AP3:AP33)</f>
        <v>382.48000000000008</v>
      </c>
      <c r="AQ34" s="48">
        <f>SUM(AQ3:AQ33)</f>
        <v>1911</v>
      </c>
      <c r="AR34" s="79">
        <f>(SUM(AR3:AR33)/D39)*C39</f>
        <v>0</v>
      </c>
      <c r="AS34" s="65"/>
      <c r="AT34" s="47">
        <f>SUM(AT3:AT33)</f>
        <v>330.85</v>
      </c>
      <c r="AU34" s="48">
        <f>SUM(AU3:AU33)</f>
        <v>2847</v>
      </c>
      <c r="AV34" s="79">
        <f>(SUM(AV3:AV33)/D39)*C39</f>
        <v>90</v>
      </c>
      <c r="AW34" s="67"/>
    </row>
    <row r="35" spans="1:49" s="52" customFormat="1" ht="11.25" x14ac:dyDescent="0.2">
      <c r="A35" s="46" t="s">
        <v>93</v>
      </c>
      <c r="B35" s="50">
        <f>B34</f>
        <v>241.00999999999996</v>
      </c>
      <c r="C35" s="51">
        <f>C34</f>
        <v>1799</v>
      </c>
      <c r="D35" s="80">
        <f>D34</f>
        <v>118</v>
      </c>
      <c r="E35" s="66"/>
      <c r="F35" s="50">
        <f>F34+B35</f>
        <v>581.9</v>
      </c>
      <c r="G35" s="51">
        <f>G34+C35</f>
        <v>5035</v>
      </c>
      <c r="H35" s="80">
        <f>H34+D35</f>
        <v>158</v>
      </c>
      <c r="I35" s="66"/>
      <c r="J35" s="50">
        <f>J34+F35</f>
        <v>980.13</v>
      </c>
      <c r="K35" s="51">
        <f>K34+G35</f>
        <v>8008</v>
      </c>
      <c r="L35" s="80">
        <f>L34+H35</f>
        <v>198.8</v>
      </c>
      <c r="M35" s="66"/>
      <c r="N35" s="50">
        <f>N34+J35</f>
        <v>1804.79</v>
      </c>
      <c r="O35" s="51">
        <f>O34+K35</f>
        <v>15651</v>
      </c>
      <c r="P35" s="80">
        <f>P34+L35</f>
        <v>210.8</v>
      </c>
      <c r="Q35" s="66"/>
      <c r="R35" s="50">
        <f>R34+N35</f>
        <v>2459.4699999999998</v>
      </c>
      <c r="S35" s="51">
        <f>S34+O35</f>
        <v>23145</v>
      </c>
      <c r="T35" s="80">
        <f>T34+P35</f>
        <v>210.8</v>
      </c>
      <c r="U35" s="66"/>
      <c r="V35" s="50">
        <f>V34+R35</f>
        <v>3361.52</v>
      </c>
      <c r="W35" s="51">
        <f>W34+S35</f>
        <v>35755</v>
      </c>
      <c r="X35" s="80">
        <f>X34+T35</f>
        <v>222.8</v>
      </c>
      <c r="Y35" s="66"/>
      <c r="Z35" s="50">
        <f>Z34+V35</f>
        <v>3967.6400000000003</v>
      </c>
      <c r="AA35" s="51">
        <f>AA34+W35</f>
        <v>42394</v>
      </c>
      <c r="AB35" s="80">
        <f>AB34+X35</f>
        <v>234.8</v>
      </c>
      <c r="AC35" s="66"/>
      <c r="AD35" s="50">
        <f>AD34+Z35</f>
        <v>4739.92</v>
      </c>
      <c r="AE35" s="51">
        <f>AE34+AA35</f>
        <v>51275</v>
      </c>
      <c r="AF35" s="80">
        <f>AF34+AB35</f>
        <v>234.8</v>
      </c>
      <c r="AG35" s="66"/>
      <c r="AH35" s="50">
        <f>AH34+AD35</f>
        <v>5260.86</v>
      </c>
      <c r="AI35" s="51">
        <f>AI34+AE35</f>
        <v>59519</v>
      </c>
      <c r="AJ35" s="80">
        <f>AJ34+AF35</f>
        <v>234.8</v>
      </c>
      <c r="AK35" s="66"/>
      <c r="AL35" s="50">
        <f>AL34+AH35</f>
        <v>5953.65</v>
      </c>
      <c r="AM35" s="51">
        <f>AM34+AI35</f>
        <v>67256</v>
      </c>
      <c r="AN35" s="80">
        <f>AN34+AJ35</f>
        <v>294.8</v>
      </c>
      <c r="AO35" s="66"/>
      <c r="AP35" s="50">
        <f>AP34+AL35</f>
        <v>6336.13</v>
      </c>
      <c r="AQ35" s="51">
        <f>AQ34+AM35</f>
        <v>69167</v>
      </c>
      <c r="AR35" s="80">
        <f>AR34+AN35</f>
        <v>294.8</v>
      </c>
      <c r="AS35" s="66"/>
      <c r="AT35" s="50">
        <f>AT34+AP35</f>
        <v>6666.9800000000005</v>
      </c>
      <c r="AU35" s="51">
        <f>AU34+AQ35</f>
        <v>72014</v>
      </c>
      <c r="AV35" s="80">
        <f>AV34+AR35</f>
        <v>384.8</v>
      </c>
      <c r="AW35" s="92"/>
    </row>
    <row r="36" spans="1:49" s="49" customFormat="1" ht="11.25" x14ac:dyDescent="0.2">
      <c r="A36" s="49" t="s">
        <v>149</v>
      </c>
      <c r="B36" s="54">
        <f>MAX(B3:B33)</f>
        <v>34.4</v>
      </c>
      <c r="C36" s="55">
        <f>MAX(C3:C33)</f>
        <v>600</v>
      </c>
      <c r="D36" s="152">
        <f>MAX(D3:D33)</f>
        <v>5.2083333333333336E-2</v>
      </c>
      <c r="E36" s="67"/>
      <c r="F36" s="54">
        <f>MAX(F3:F33)</f>
        <v>65.12</v>
      </c>
      <c r="G36" s="55">
        <f>MAX(G3:G33)</f>
        <v>591</v>
      </c>
      <c r="H36" s="152">
        <f>MAX(H3:H33)</f>
        <v>4.1666666666666664E-2</v>
      </c>
      <c r="I36" s="67"/>
      <c r="J36" s="54">
        <f>MAX(J3:J33)</f>
        <v>62.42</v>
      </c>
      <c r="K36" s="55">
        <f>MAX(K3:K33)</f>
        <v>816</v>
      </c>
      <c r="L36" s="152">
        <f>MAX(L3:L33)</f>
        <v>4.3055555555555562E-2</v>
      </c>
      <c r="M36" s="67"/>
      <c r="N36" s="54">
        <f>MAX(N3:N33)</f>
        <v>90.44</v>
      </c>
      <c r="O36" s="55">
        <f>MAX(O3:O33)</f>
        <v>989</v>
      </c>
      <c r="P36" s="152">
        <f>MAX(P3:P33)</f>
        <v>2.0833333333333332E-2</v>
      </c>
      <c r="Q36" s="67"/>
      <c r="R36" s="54">
        <f>MAX(R3:R33)</f>
        <v>96.42</v>
      </c>
      <c r="S36" s="55">
        <f>MAX(S3:S33)</f>
        <v>1385</v>
      </c>
      <c r="T36" s="152">
        <f>MAX(T3:T33)</f>
        <v>0</v>
      </c>
      <c r="U36" s="67"/>
      <c r="V36" s="54">
        <f>MAX(V3:V33)</f>
        <v>124</v>
      </c>
      <c r="W36" s="314">
        <f>MAX(W3:W33)</f>
        <v>1910</v>
      </c>
      <c r="X36" s="152">
        <f>MAX(X3:X33)</f>
        <v>2.0833333333333332E-2</v>
      </c>
      <c r="Y36" s="67"/>
      <c r="Z36" s="54">
        <f>MAX(Z3:Z33)</f>
        <v>101.35</v>
      </c>
      <c r="AA36" s="55">
        <f>MAX(AA3:AA33)</f>
        <v>1300</v>
      </c>
      <c r="AB36" s="152">
        <f>MAX(AB3:AB33)</f>
        <v>2.0833333333333332E-2</v>
      </c>
      <c r="AC36" s="67"/>
      <c r="AD36" s="54">
        <f>MAX(AD3:AD33)</f>
        <v>94.3</v>
      </c>
      <c r="AE36" s="55">
        <f>MAX(AE3:AE33)</f>
        <v>1310</v>
      </c>
      <c r="AF36" s="152">
        <f>MAX(AF3:AF33)</f>
        <v>0</v>
      </c>
      <c r="AG36" s="67"/>
      <c r="AH36" s="54">
        <f>MAX(AH3:AH33)</f>
        <v>85</v>
      </c>
      <c r="AI36" s="314">
        <f>MAX(AI3:AI33)</f>
        <v>2200</v>
      </c>
      <c r="AJ36" s="152">
        <f>MAX(AJ3:AJ33)</f>
        <v>0</v>
      </c>
      <c r="AK36" s="67"/>
      <c r="AL36" s="54">
        <f>MAX(AL3:AL33)</f>
        <v>90.07</v>
      </c>
      <c r="AM36" s="55">
        <f>MAX(AM3:AM33)</f>
        <v>1040</v>
      </c>
      <c r="AN36" s="152">
        <f>MAX(AN3:AN33)</f>
        <v>8.3333333333333329E-2</v>
      </c>
      <c r="AO36" s="67"/>
      <c r="AP36" s="54">
        <f>MAX(AP3:AP33)</f>
        <v>37.200000000000003</v>
      </c>
      <c r="AQ36" s="55">
        <f>MAX(AQ3:AQ33)</f>
        <v>306</v>
      </c>
      <c r="AR36" s="152">
        <f>MAX(AR3:AR33)</f>
        <v>0</v>
      </c>
      <c r="AS36" s="67"/>
      <c r="AT36" s="54">
        <f>MAX(AT3:AT33)</f>
        <v>42.05</v>
      </c>
      <c r="AU36" s="55">
        <f>MAX(AU3:AU33)</f>
        <v>457</v>
      </c>
      <c r="AV36" s="152">
        <f>MAX(AV3:AV33)</f>
        <v>9.375E-2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17.214999999999996</v>
      </c>
      <c r="C37" s="55">
        <f>IFERROR(AVERAGE(C3:C33),0)</f>
        <v>128.5</v>
      </c>
      <c r="D37" s="152">
        <f>IFERROR(AVERAGE(D3:D33),0)</f>
        <v>4.0972222222222222E-2</v>
      </c>
      <c r="E37" s="67"/>
      <c r="F37" s="54">
        <f>IFERROR(AVERAGE(F3:F33),0)</f>
        <v>20.052352941176473</v>
      </c>
      <c r="G37" s="55">
        <f>IFERROR(AVERAGE(G3:G33),0)</f>
        <v>190.35294117647058</v>
      </c>
      <c r="H37" s="152">
        <f>IFERROR(AVERAGE(H3:H33),0)</f>
        <v>3.4722222222222224E-2</v>
      </c>
      <c r="I37" s="67"/>
      <c r="J37" s="54">
        <f>IFERROR(AVERAGE(J3:J33),0)</f>
        <v>22.123888888888889</v>
      </c>
      <c r="K37" s="55">
        <f>IFERROR(AVERAGE(K3:K33),0)</f>
        <v>165.16666666666666</v>
      </c>
      <c r="L37" s="152">
        <f>IFERROR(AVERAGE(L3:L33),0)</f>
        <v>3.5416666666666666E-2</v>
      </c>
      <c r="M37" s="67"/>
      <c r="N37" s="54">
        <f>IFERROR(AVERAGE(N3:N33),0)</f>
        <v>31.71769230769231</v>
      </c>
      <c r="O37" s="55">
        <f>IFERROR(AVERAGE(O3:O33),0)</f>
        <v>293.96153846153845</v>
      </c>
      <c r="P37" s="152">
        <f>IFERROR(AVERAGE(P3:P33),0)</f>
        <v>2.0833333333333332E-2</v>
      </c>
      <c r="Q37" s="67"/>
      <c r="R37" s="54">
        <f>IFERROR(AVERAGE(R3:R33),0)</f>
        <v>28.464347826086954</v>
      </c>
      <c r="S37" s="55">
        <f>IFERROR(AVERAGE(S3:S33),0)</f>
        <v>325.82608695652175</v>
      </c>
      <c r="T37" s="152">
        <f>IFERROR(AVERAGE(T3:T33),0)</f>
        <v>0</v>
      </c>
      <c r="U37" s="67"/>
      <c r="V37" s="54">
        <f>IFERROR(AVERAGE(V3:V33),0)</f>
        <v>37.585416666666674</v>
      </c>
      <c r="W37" s="55">
        <f>IFERROR(AVERAGE(W3:W33),0)</f>
        <v>525.41666666666663</v>
      </c>
      <c r="X37" s="152">
        <f>IFERROR(AVERAGE(X3:X33),0)</f>
        <v>2.0833333333333332E-2</v>
      </c>
      <c r="Y37" s="67"/>
      <c r="Z37" s="54">
        <f>IFERROR(AVERAGE(Z3:Z33),0)</f>
        <v>25.255000000000006</v>
      </c>
      <c r="AA37" s="55">
        <f>IFERROR(AVERAGE(AA3:AA33),0)</f>
        <v>276.625</v>
      </c>
      <c r="AB37" s="152">
        <f>IFERROR(AVERAGE(AB3:AB33),0)</f>
        <v>2.0833333333333332E-2</v>
      </c>
      <c r="AC37" s="67"/>
      <c r="AD37" s="54">
        <f>IFERROR(AVERAGE(AD3:AD33),0)</f>
        <v>27.581428571428571</v>
      </c>
      <c r="AE37" s="55">
        <f>IFERROR(AVERAGE(AE3:AE33),0)</f>
        <v>317.17857142857144</v>
      </c>
      <c r="AF37" s="152">
        <f>IFERROR(AVERAGE(AF3:AF33),0)</f>
        <v>0</v>
      </c>
      <c r="AG37" s="67"/>
      <c r="AH37" s="54">
        <f>IFERROR(AVERAGE(AH3:AH33),0)</f>
        <v>24.806666666666665</v>
      </c>
      <c r="AI37" s="55">
        <f>IFERROR(AVERAGE(AI3:AI33),0)</f>
        <v>392.57142857142856</v>
      </c>
      <c r="AJ37" s="152">
        <f>IFERROR(AVERAGE(AJ3:AJ33),0)</f>
        <v>0</v>
      </c>
      <c r="AK37" s="67"/>
      <c r="AL37" s="54">
        <f>IFERROR(AVERAGE(AL3:AL33),0)</f>
        <v>26.645769230769226</v>
      </c>
      <c r="AM37" s="55">
        <f>IFERROR(AVERAGE(AM3:AM33),0)</f>
        <v>297.57692307692309</v>
      </c>
      <c r="AN37" s="152">
        <f>IFERROR(AVERAGE(AN3:AN33),0)</f>
        <v>5.2083333333333329E-2</v>
      </c>
      <c r="AO37" s="67"/>
      <c r="AP37" s="54">
        <f>IFERROR(AVERAGE(AP3:AP33),0)</f>
        <v>15.936666666666669</v>
      </c>
      <c r="AQ37" s="55">
        <f>IFERROR(AVERAGE(AQ3:AQ33),0)</f>
        <v>79.625</v>
      </c>
      <c r="AR37" s="152">
        <f>IFERROR(AVERAGE(AR3:AR33),0)</f>
        <v>0</v>
      </c>
      <c r="AS37" s="67"/>
      <c r="AT37" s="54">
        <f>IFERROR(AVERAGE(AT3:AT33),0)</f>
        <v>17.413157894736845</v>
      </c>
      <c r="AU37" s="55">
        <f>IFERROR(AVERAGE(AU3:AU33),0)</f>
        <v>149.84210526315789</v>
      </c>
      <c r="AV37" s="152">
        <f>IFERROR(AVERAGE(AV3:AV33),0)</f>
        <v>5.2083333333333336E-2</v>
      </c>
      <c r="AW37" s="67"/>
    </row>
    <row r="38" spans="1:49" s="49" customFormat="1" ht="11.25" x14ac:dyDescent="0.2">
      <c r="A38" s="49" t="s">
        <v>236</v>
      </c>
      <c r="B38" s="54">
        <f>B34-'10'!B34</f>
        <v>80.70999999999998</v>
      </c>
      <c r="C38" s="78">
        <f>C34-'10'!C34</f>
        <v>363</v>
      </c>
      <c r="D38" s="105">
        <f>IF(B34+D34=0,0,D34/(B34+D34))</f>
        <v>0.32868165232166235</v>
      </c>
      <c r="E38" s="67"/>
      <c r="F38" s="54">
        <f>F34-'10'!F34</f>
        <v>115.12000000000003</v>
      </c>
      <c r="G38" s="78">
        <f>G34-'10'!G34</f>
        <v>2021</v>
      </c>
      <c r="H38" s="105">
        <f>IF(F34+H34=0,0,H34/(F34+H34))</f>
        <v>0.10501719656593766</v>
      </c>
      <c r="I38" s="67"/>
      <c r="J38" s="54">
        <f>J34-'10'!J34</f>
        <v>-18.879999999999995</v>
      </c>
      <c r="K38" s="78">
        <f>K34-'10'!K34</f>
        <v>62</v>
      </c>
      <c r="L38" s="105">
        <f>IF(J34+L34=0,0,L34/(J34+L34))</f>
        <v>9.2932145867025015E-2</v>
      </c>
      <c r="M38" s="67"/>
      <c r="N38" s="54">
        <f>N34-'10'!N34</f>
        <v>158.23000000000002</v>
      </c>
      <c r="O38" s="78">
        <f>O34-'10'!O34</f>
        <v>-203</v>
      </c>
      <c r="P38" s="105">
        <f>IF(N34+P34=0,0,P34/(N34+P34))</f>
        <v>1.4342743766882604E-2</v>
      </c>
      <c r="Q38" s="67"/>
      <c r="R38" s="54">
        <f>R34-'10'!R34</f>
        <v>245.24999999999994</v>
      </c>
      <c r="S38" s="78">
        <f>S34-'10'!S34</f>
        <v>4242</v>
      </c>
      <c r="T38" s="105">
        <f>IF(R34+T34=0,0,T34/(R34+T34))</f>
        <v>0</v>
      </c>
      <c r="U38" s="67"/>
      <c r="V38" s="54">
        <f>V34-'10'!V34</f>
        <v>251.70000000000016</v>
      </c>
      <c r="W38" s="78">
        <f>W34-'10'!W34</f>
        <v>5425</v>
      </c>
      <c r="X38" s="105">
        <f>IF(V34+X34=0,0,X34/(V34+X34))</f>
        <v>1.3128384661670585E-2</v>
      </c>
      <c r="Y38" s="67"/>
      <c r="Z38" s="54">
        <f>Z34-'10'!Z34</f>
        <v>186.65000000000009</v>
      </c>
      <c r="AA38" s="78">
        <f>AA34-'10'!AA34</f>
        <v>1405</v>
      </c>
      <c r="AB38" s="105">
        <f>IF(Z34+AB34=0,0,AB34/(Z34+AB34))</f>
        <v>1.9413706076489998E-2</v>
      </c>
      <c r="AC38" s="67"/>
      <c r="AD38" s="54">
        <f>AD34-'10'!AD34</f>
        <v>374.12999999999994</v>
      </c>
      <c r="AE38" s="78">
        <f>AE34-'10'!AE34</f>
        <v>7019</v>
      </c>
      <c r="AF38" s="105">
        <f>IF(AD34+AF34=0,0,AF34/(AD34+AF34))</f>
        <v>0</v>
      </c>
      <c r="AG38" s="67"/>
      <c r="AH38" s="54">
        <f>AH34-'10'!AH34</f>
        <v>-22.839999999999918</v>
      </c>
      <c r="AI38" s="78">
        <f>AI34-'10'!AI34</f>
        <v>3891</v>
      </c>
      <c r="AJ38" s="105">
        <f>IF(AH34+AJ34=0,0,AJ34/(AH34+AJ34))</f>
        <v>0</v>
      </c>
      <c r="AK38" s="67"/>
      <c r="AL38" s="54">
        <f>AL34-'10'!AL34</f>
        <v>370.52999999999986</v>
      </c>
      <c r="AM38" s="78">
        <f>AM34-'10'!AM34</f>
        <v>5867</v>
      </c>
      <c r="AN38" s="105">
        <f>IF(AL34+AN34=0,0,AN34/(AL34+AN34))</f>
        <v>7.9703502968955495E-2</v>
      </c>
      <c r="AO38" s="67"/>
      <c r="AP38" s="54">
        <f>AP34-'10'!AP34</f>
        <v>170.85000000000008</v>
      </c>
      <c r="AQ38" s="78">
        <f>AQ34-'10'!AQ34</f>
        <v>1002</v>
      </c>
      <c r="AR38" s="105">
        <f>IF(AP34+AR34=0,0,AR34/(AP34+AR34))</f>
        <v>0</v>
      </c>
      <c r="AS38" s="67"/>
      <c r="AT38" s="54">
        <f>AT34-'10'!AT34</f>
        <v>297.60000000000002</v>
      </c>
      <c r="AU38" s="78">
        <f>AU34-'10'!AU34</f>
        <v>2729</v>
      </c>
      <c r="AV38" s="105">
        <f>IF(AT34+AV34=0,0,AV34/(AT34+AV34))</f>
        <v>0.21385291671616966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H39" s="169"/>
      <c r="I39" s="168"/>
      <c r="J39" s="50">
        <f>SUM(B34,F34,J34)</f>
        <v>980.13</v>
      </c>
      <c r="K39" s="51">
        <f t="shared" ref="K39:L39" si="12">SUM(C34,G34,K34)</f>
        <v>8008</v>
      </c>
      <c r="L39" s="170">
        <f t="shared" si="12"/>
        <v>198.8</v>
      </c>
      <c r="M39" s="168"/>
      <c r="P39" s="169"/>
      <c r="Q39" s="168"/>
      <c r="T39" s="169"/>
      <c r="U39" s="168"/>
      <c r="V39" s="50">
        <f>SUM(N34,R34,V34)</f>
        <v>2381.3900000000003</v>
      </c>
      <c r="W39" s="51">
        <f>SUM(O34,S34,W34)</f>
        <v>27747</v>
      </c>
      <c r="X39" s="170">
        <f>SUM(P34,T34,X34)</f>
        <v>24</v>
      </c>
      <c r="Y39" s="168"/>
      <c r="AB39" s="169"/>
      <c r="AC39" s="168"/>
      <c r="AF39" s="169"/>
      <c r="AG39" s="168"/>
      <c r="AH39" s="50">
        <f>SUM(Z34,AD34,AH34)</f>
        <v>1899.3400000000001</v>
      </c>
      <c r="AI39" s="51">
        <f>SUM(AA34,AE34,AI34)</f>
        <v>23764</v>
      </c>
      <c r="AJ39" s="170">
        <f>SUM(AB34,AF34,AJ34)</f>
        <v>12</v>
      </c>
      <c r="AK39" s="168"/>
      <c r="AN39" s="169"/>
      <c r="AO39" s="168"/>
      <c r="AR39" s="169"/>
      <c r="AS39" s="168"/>
      <c r="AT39" s="50">
        <f>SUM(AL34,AP34,AT34)</f>
        <v>1406.12</v>
      </c>
      <c r="AU39" s="51">
        <f>SUM(AM34,AQ34,AU34)</f>
        <v>12495</v>
      </c>
      <c r="AV39" s="170">
        <f>SUM(AN34,AR34,AV34)</f>
        <v>150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19.797080610021784</v>
      </c>
      <c r="K40" s="55">
        <f>IFERROR(AVERAGE(C37,G37,K37),0)</f>
        <v>161.33986928104574</v>
      </c>
      <c r="L40" s="152">
        <f>IFERROR(AVERAGE(D37,H37,L37),0)</f>
        <v>3.7037037037037042E-2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32.589152266815312</v>
      </c>
      <c r="W40" s="55">
        <f>IFERROR(AVERAGE(O37,S37,W37),0)</f>
        <v>381.7347640282423</v>
      </c>
      <c r="X40" s="152">
        <f>IFERROR(AVERAGE(P37,T37,X37),0)</f>
        <v>1.3888888888888888E-2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25.881031746031748</v>
      </c>
      <c r="AI40" s="55">
        <f>IFERROR(AVERAGE(AA37,AE37,AI37),0)</f>
        <v>328.79166666666669</v>
      </c>
      <c r="AJ40" s="152">
        <f>IFERROR(AVERAGE(AB37,AF37,AJ37),0)</f>
        <v>6.9444444444444441E-3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19.998531264057579</v>
      </c>
      <c r="AU40" s="55">
        <f>IFERROR(AVERAGE(AM37,AQ37,AU37),0)</f>
        <v>175.68134278002699</v>
      </c>
      <c r="AV40" s="152">
        <f>IFERROR(AVERAGE(AN37,AR37,AV37),0)</f>
        <v>3.4722222222222217E-2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10</v>
      </c>
      <c r="G41" s="96">
        <f>RANK(G34,(C34,G34,K34,O34,S34,W34,AA34,AE34,AI34,AM34,AQ34,AU34))</f>
        <v>8</v>
      </c>
      <c r="H41" s="102">
        <f>RANK(H34,(D34,H34,L34,P34,T34,X34,AB34,AF34,AJ34,AN34,AR34,AV34))</f>
        <v>5</v>
      </c>
      <c r="I41" s="103"/>
      <c r="J41" s="95">
        <f>RANK(J34,(B34,F34,J34,N34,R34,V34,Z34,AD34,AH34,AL34,AP34,AT34))</f>
        <v>8</v>
      </c>
      <c r="K41" s="96">
        <f>RANK(K34,(C34,G34,K34,O34,S34,W34,AA34,AE34,AI34,AM34,AQ34,AU34))</f>
        <v>9</v>
      </c>
      <c r="L41" s="102">
        <f>RANK(L34,(D34,H34,L34,P34,T34,X34,AB34,AF34,AJ34,AN34,AR34,AV34))</f>
        <v>4</v>
      </c>
      <c r="M41" s="103"/>
      <c r="N41" s="95">
        <f>RANK(N34,(B34,F34,J34,N34,R34,V34,Z34,AD34,AH34,AL34,AP34,AT34))</f>
        <v>2</v>
      </c>
      <c r="O41" s="96">
        <f>RANK(O34,(C34,G34,K34,O34,S34,W34,AA34,AE34,AI34,AM34,AQ34,AU34))</f>
        <v>5</v>
      </c>
      <c r="P41" s="102">
        <f>RANK(P34,(D34,H34,L34,P34,T34,X34,AB34,AF34,AJ34,AN34,AR34,AV34))</f>
        <v>6</v>
      </c>
      <c r="Q41" s="103"/>
      <c r="R41" s="95">
        <f>RANK(R34,(B34,F34,J34,N34,R34,V34,Z34,AD34,AH34,AL34,AP34,AT34))</f>
        <v>5</v>
      </c>
      <c r="S41" s="96">
        <f>RANK(S34,(C34,G34,K34,O34,S34,W34,AA34,AE34,AI34,AM34,AQ34,AU34))</f>
        <v>6</v>
      </c>
      <c r="T41" s="102">
        <f>RANK(T34,(D34,H34,L34,P34,T34,X34,AB34,AF34,AJ34,AN34,AR34,AV34))</f>
        <v>9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1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6</v>
      </c>
      <c r="AA41" s="96">
        <f>RANK(AA34,(C34,G34,K34,O34,S34,W34,AA34,AE34,AI34,AM34,AQ34,AU34))</f>
        <v>7</v>
      </c>
      <c r="AB41" s="102">
        <f>RANK(AB34,(D34,H34,L34,P34,T34,X34,AB34,AF34,AJ34,AN34,AR34,AV34))</f>
        <v>6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2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3</v>
      </c>
      <c r="AJ41" s="102">
        <f>RANK(AJ34,(D34,H34,L34,P34,T34,X34,AB34,AF34,AJ34,AN34,AR34,AV34))</f>
        <v>9</v>
      </c>
      <c r="AK41" s="103"/>
      <c r="AL41" s="95">
        <f>RANK(AL34,(B34,F34,J34,N34,R34,V34,Z34,AD34,AH34,AL34,AP34,AT34))</f>
        <v>4</v>
      </c>
      <c r="AM41" s="96">
        <f>RANK(AM34,(C34,G34,K34,O34,S34,W34,AA34,AE34,AI34,AM34,AQ34,AU34))</f>
        <v>4</v>
      </c>
      <c r="AN41" s="102">
        <f>RANK(AN34,(D34,H34,L34,P34,T34,X34,AB34,AF34,AJ34,AN34,AR34,AV34))</f>
        <v>3</v>
      </c>
      <c r="AO41" s="103"/>
      <c r="AP41" s="95">
        <f>RANK(AP34,(B34,F34,J34,N34,R34,V34,Z34,AD34,AH34,AL34,AP34,AT34))</f>
        <v>9</v>
      </c>
      <c r="AQ41" s="96">
        <f>RANK(AQ34,(C34,G34,K34,O34,S34,W34,AA34,AE34,AI34,AM34,AQ34,AU34))</f>
        <v>11</v>
      </c>
      <c r="AR41" s="102">
        <f>RANK(AR34,(D34,H34,L34,P34,T34,X34,AB34,AF34,AJ34,AN34,AR34,AV34))</f>
        <v>9</v>
      </c>
      <c r="AS41" s="103"/>
      <c r="AT41" s="95">
        <f>RANK(AT34,(B34,F34,J34,N34,R34,V34,Z34,AD34,AH34,AL34,AP34,AT34))</f>
        <v>11</v>
      </c>
      <c r="AU41" s="96">
        <f>RANK(AU34,(C34,G34,K34,O34,S34,W34,AA34,AE34,AI34,AM34,AQ34,AU34))</f>
        <v>10</v>
      </c>
      <c r="AV41" s="102">
        <f>RANK(AV34,(D34,H34,L34,P34,T34,X34,AB34,AF34,AJ34,AN34,AR34,AV34))</f>
        <v>2</v>
      </c>
      <c r="AW41" s="107"/>
    </row>
    <row r="42" spans="1:49" s="49" customFormat="1" ht="11.25" x14ac:dyDescent="0.2">
      <c r="A42" s="52" t="s">
        <v>214</v>
      </c>
      <c r="B42" s="86">
        <f>T1</f>
        <v>24.566448971731607</v>
      </c>
      <c r="C42" s="87">
        <f>AB1</f>
        <v>261.88691068899544</v>
      </c>
      <c r="D42" s="88"/>
      <c r="E42" s="176" t="s">
        <v>399</v>
      </c>
      <c r="F42" s="177">
        <f>SUM(J23:J33,N3:N33,R3:R33,V3:V33,Z3:Z33,AD3:AD33,AH3:AH23)</f>
        <v>4173.6299999999983</v>
      </c>
      <c r="G42" s="178">
        <f>SUM(K23:K33,O3:O32,S3:S33,W3:W32,AA3:AA33,AE3:AE33,AI3:AI23)</f>
        <v>48079</v>
      </c>
      <c r="H42" s="179"/>
      <c r="I42" s="179"/>
      <c r="J42" s="180">
        <f>IFERROR(F42/(F42+F43),0)</f>
        <v>0.62601507729136696</v>
      </c>
      <c r="K42" s="180">
        <f>IFERROR(G42/(G42+G43),0)</f>
        <v>0.66763407115283135</v>
      </c>
      <c r="L42" s="179"/>
      <c r="M42" s="259" t="s">
        <v>600</v>
      </c>
      <c r="N42" s="257">
        <v>23</v>
      </c>
      <c r="Y42" s="144"/>
      <c r="AK42" s="211" t="s">
        <v>478</v>
      </c>
      <c r="AL42" s="47">
        <f>MAX(B34,F34,J34,N34,R34,V34,Z34,AD34,AH34,AL34,AP34,AT34)</f>
        <v>902.05000000000018</v>
      </c>
      <c r="AM42" s="212">
        <f>MAX(C34,G34,K34,O34,S34,W34,AA34,AE34,AI34,AM34,AQ34,AU34)</f>
        <v>12610</v>
      </c>
      <c r="AN42" s="49" t="s">
        <v>346</v>
      </c>
      <c r="AO42" s="210" t="s">
        <v>344</v>
      </c>
      <c r="AP42" s="54">
        <f>R1-'10'!R1</f>
        <v>207.75999999999996</v>
      </c>
      <c r="AQ42" s="78">
        <f>AF1-'10'!AF1</f>
        <v>1681</v>
      </c>
      <c r="AR42" s="49" t="s">
        <v>345</v>
      </c>
      <c r="AS42" s="209" t="s">
        <v>344</v>
      </c>
      <c r="AT42" s="54">
        <f>I1-'10'!I1</f>
        <v>-1.3100000000000023</v>
      </c>
      <c r="AU42" s="78">
        <f>AN1-'10'!AN1</f>
        <v>30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18.265698630136988</v>
      </c>
      <c r="C43" s="87">
        <f>AU1/365</f>
        <v>197.2986301369863</v>
      </c>
      <c r="D43" s="88"/>
      <c r="E43" s="172" t="s">
        <v>400</v>
      </c>
      <c r="F43" s="173">
        <f>E1-F42</f>
        <v>2493.3500000000022</v>
      </c>
      <c r="G43" s="174">
        <f>AU1-G42</f>
        <v>23935</v>
      </c>
      <c r="H43" s="175"/>
      <c r="I43" s="175"/>
      <c r="J43" s="181">
        <f>IFERROR(F43/(F42+F43),0)</f>
        <v>0.37398492270863298</v>
      </c>
      <c r="K43" s="181">
        <f>IFERROR(G43/(G42+G43),0)</f>
        <v>0.33236592884716859</v>
      </c>
      <c r="L43" s="175"/>
      <c r="M43" s="65" t="s">
        <v>601</v>
      </c>
      <c r="N43" s="258">
        <v>9</v>
      </c>
      <c r="Y43" s="67"/>
      <c r="AK43" s="213" t="s">
        <v>481</v>
      </c>
      <c r="AL43" s="188">
        <f>IF($B$1&lt;&gt;0,$AV$35/$B1,0)</f>
        <v>5.4567782886023097E-2</v>
      </c>
      <c r="AO43" s="209" t="s">
        <v>344</v>
      </c>
      <c r="AP43" s="54">
        <f>AV35-'10'!AV35</f>
        <v>-536</v>
      </c>
      <c r="AQ43" s="188">
        <f>AL43-'10'!AL43</f>
        <v>-0.11662504516074629</v>
      </c>
      <c r="AR43" s="49" t="s">
        <v>204</v>
      </c>
      <c r="AS43" s="209" t="s">
        <v>344</v>
      </c>
      <c r="AT43" s="54">
        <f>B1-'10'!B1</f>
        <v>1673.0500000000002</v>
      </c>
      <c r="AU43" s="78">
        <f>AU1-'10'!AU1</f>
        <v>33823</v>
      </c>
      <c r="AV43" s="49" t="s">
        <v>347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650" priority="67" operator="equal">
      <formula>$R$1</formula>
    </cfRule>
    <cfRule type="cellIs" dxfId="649" priority="68" operator="equal">
      <formula>$M$1</formula>
    </cfRule>
  </conditionalFormatting>
  <conditionalFormatting sqref="C34 G34 K34 O34 S34 W34 AA34 AE34 AI34 AM34 AQ34 AU34">
    <cfRule type="cellIs" dxfId="648" priority="66" operator="equal">
      <formula>$AF$1</formula>
    </cfRule>
    <cfRule type="cellIs" dxfId="647" priority="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646" priority="63" operator="lessThan">
      <formula>0</formula>
    </cfRule>
    <cfRule type="cellIs" dxfId="645" priority="64" operator="greaterThanOrEqual">
      <formula>0</formula>
    </cfRule>
  </conditionalFormatting>
  <conditionalFormatting sqref="C38 G38 K38 O38 S38 W38 AA38 AE38 AI38 AM38 AQ38 AU38 AU42:AU43 AQ42">
    <cfRule type="cellIs" dxfId="644" priority="61" operator="lessThan">
      <formula>0</formula>
    </cfRule>
    <cfRule type="cellIs" dxfId="643" priority="62" operator="greaterThanOrEqual">
      <formula>0</formula>
    </cfRule>
  </conditionalFormatting>
  <conditionalFormatting sqref="D38">
    <cfRule type="cellIs" dxfId="642" priority="5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641" priority="5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640" priority="52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639" priority="49" stopIfTrue="1" operator="between">
      <formula>0</formula>
      <formula>0.0416550925925926</formula>
    </cfRule>
    <cfRule type="cellIs" dxfId="638" priority="50" stopIfTrue="1" operator="between">
      <formula>0.0416666666666667</formula>
      <formula>0.0833217592592593</formula>
    </cfRule>
    <cfRule type="cellIs" dxfId="637" priority="51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636" priority="37" operator="equal">
      <formula>MAX($D$36,$H$36,$L$36,$P$36,$T$36,$X$36,$AB$36,$AF$36,$AJ$36,$AN$36,$AR$36,$AV$36)</formula>
    </cfRule>
  </conditionalFormatting>
  <conditionalFormatting sqref="AP43">
    <cfRule type="cellIs" dxfId="635" priority="35" operator="lessThan">
      <formula>0</formula>
    </cfRule>
    <cfRule type="cellIs" dxfId="634" priority="36" operator="greaterThanOrEqual">
      <formula>0</formula>
    </cfRule>
  </conditionalFormatting>
  <conditionalFormatting sqref="B3:B33 F3:F33 J3:J33 N3:N33 R3:R33 V3:V33 Z3:Z33 AT3:AT33 AH3:AH33 AL3:AL33 AP3:AP33 AD3:AD33">
    <cfRule type="cellIs" dxfId="633" priority="58" stopIfTrue="1" operator="lessThan">
      <formula>50</formula>
    </cfRule>
    <cfRule type="cellIs" dxfId="632" priority="59" stopIfTrue="1" operator="greaterThanOrEqual">
      <formula>100</formula>
    </cfRule>
    <cfRule type="cellIs" dxfId="631" priority="60" operator="greaterThanOrEqual">
      <formula>50</formula>
    </cfRule>
  </conditionalFormatting>
  <conditionalFormatting sqref="C3:C33 G3:G33 K3:K33 O3:O33 S3:S33 W3:W33 AA3:AA33 AU3:AU33 AI3:AI33 AM3:AM33 AQ3:AQ33 AE3:AE33">
    <cfRule type="cellIs" dxfId="630" priority="55" stopIfTrue="1" operator="between">
      <formula>0</formula>
      <formula>749.99</formula>
    </cfRule>
    <cfRule type="cellIs" dxfId="629" priority="56" stopIfTrue="1" operator="greaterThanOrEqual">
      <formula>1500</formula>
    </cfRule>
    <cfRule type="cellIs" dxfId="628" priority="57" operator="greaterThanOrEqual">
      <formula>750</formula>
    </cfRule>
  </conditionalFormatting>
  <conditionalFormatting sqref="AQ43">
    <cfRule type="cellIs" dxfId="627" priority="33" stopIfTrue="1" operator="lessThan">
      <formula>0</formula>
    </cfRule>
    <cfRule type="cellIs" dxfId="626" priority="34" operator="greaterThanOrEqual">
      <formula>0</formula>
    </cfRule>
  </conditionalFormatting>
  <conditionalFormatting sqref="AL42">
    <cfRule type="cellIs" dxfId="625" priority="26" stopIfTrue="1" operator="lessThan">
      <formula>1000</formula>
    </cfRule>
    <cfRule type="cellIs" dxfId="624" priority="27" stopIfTrue="1" operator="lessThan">
      <formula>1100</formula>
    </cfRule>
    <cfRule type="cellIs" dxfId="623" priority="28" stopIfTrue="1" operator="lessThan">
      <formula>9999</formula>
    </cfRule>
  </conditionalFormatting>
  <conditionalFormatting sqref="AM42">
    <cfRule type="cellIs" dxfId="622" priority="23" stopIfTrue="1" operator="lessThan">
      <formula>10000</formula>
    </cfRule>
    <cfRule type="cellIs" dxfId="621" priority="24" stopIfTrue="1" operator="lessThan">
      <formula>13000</formula>
    </cfRule>
    <cfRule type="cellIs" dxfId="620" priority="25" stopIfTrue="1" operator="lessThan">
      <formula>99999</formula>
    </cfRule>
  </conditionalFormatting>
  <conditionalFormatting sqref="AL43">
    <cfRule type="cellIs" dxfId="619" priority="18" stopIfTrue="1" operator="lessThan">
      <formula>0.05</formula>
    </cfRule>
    <cfRule type="cellIs" dxfId="618" priority="19" stopIfTrue="1" operator="lessThan">
      <formula>0.1</formula>
    </cfRule>
    <cfRule type="cellIs" dxfId="617" priority="20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58">
        <f>AT35+AV35</f>
        <v>8706.8750000000018</v>
      </c>
      <c r="C1" s="358"/>
      <c r="D1" s="83" t="s">
        <v>238</v>
      </c>
      <c r="E1" s="359">
        <f>AT35</f>
        <v>7807.6750000000011</v>
      </c>
      <c r="F1" s="359"/>
      <c r="G1" s="360" t="s">
        <v>152</v>
      </c>
      <c r="H1" s="360"/>
      <c r="I1" s="356">
        <f>MAX(B36,F36,J36,N36,R36,V36,Z36,AD36,AH36,AL36,AP36,AT36)</f>
        <v>130.34</v>
      </c>
      <c r="J1" s="356"/>
      <c r="K1" s="361" t="s">
        <v>159</v>
      </c>
      <c r="L1" s="361"/>
      <c r="M1" s="362">
        <f>MAX(B34,F34,J34,N34,R34,V34,Z34,AD34,AH34,AL34,AP34,AT34)</f>
        <v>1016.9499999999999</v>
      </c>
      <c r="N1" s="362"/>
      <c r="O1" s="355" t="s">
        <v>190</v>
      </c>
      <c r="P1" s="355"/>
      <c r="Q1" s="355"/>
      <c r="R1" s="149">
        <f>MIN(B34,F34,J34,N34,R34,V34,Z34,AD34,AH34,AL34,AP34,AT34)</f>
        <v>394.93</v>
      </c>
      <c r="S1" s="84" t="s">
        <v>207</v>
      </c>
      <c r="T1" s="368">
        <f>IFERROR(AVERAGE(B37,F37,J37,N37,R37,V37,Z37,AD37,AH37,AL37,AP37,AT37),0)</f>
        <v>24.231508363325386</v>
      </c>
      <c r="U1" s="368"/>
      <c r="V1" s="377" t="s">
        <v>480</v>
      </c>
      <c r="W1" s="377"/>
      <c r="X1" s="377"/>
      <c r="Y1" s="377"/>
      <c r="Z1" s="377"/>
      <c r="AA1" s="85" t="s">
        <v>207</v>
      </c>
      <c r="AB1" s="357">
        <f>IFERROR(AVERAGE(C37,G37,K37,O37,S37,W37,AA37,AE37,AI37,AM37,AQ37,AU37),0)</f>
        <v>275.12676947871887</v>
      </c>
      <c r="AC1" s="357"/>
      <c r="AD1" s="367" t="s">
        <v>190</v>
      </c>
      <c r="AE1" s="367"/>
      <c r="AF1" s="370">
        <f>MIN(C34,G34,K34,O34,S34,W34,AA34,AE34,AI34,AM34,AQ34,AU34)</f>
        <v>3700</v>
      </c>
      <c r="AG1" s="370"/>
      <c r="AH1" s="371" t="s">
        <v>159</v>
      </c>
      <c r="AI1" s="371"/>
      <c r="AJ1" s="372">
        <f>MAX(C34,G34,K34,O34,S34,W34,AA34,AE34,AI34,AM34,AQ34,AU34)</f>
        <v>13461</v>
      </c>
      <c r="AK1" s="372"/>
      <c r="AL1" s="374" t="s">
        <v>153</v>
      </c>
      <c r="AM1" s="374"/>
      <c r="AN1" s="373">
        <f>MAX(C36,G36,K36,O36,S36,W36,AA36,AE36,AI36,AM36,AQ36,AU36)</f>
        <v>2230</v>
      </c>
      <c r="AO1" s="373"/>
      <c r="AP1" s="363" t="s">
        <v>361</v>
      </c>
      <c r="AQ1" s="363"/>
      <c r="AR1" s="364">
        <f>MAX(D36,H36,L36,P36,T36,X36,AB36,AF36,AJ36,AN36,AR36,AV36)</f>
        <v>0.11388888888888889</v>
      </c>
      <c r="AS1" s="364"/>
      <c r="AT1" s="81" t="s">
        <v>2</v>
      </c>
      <c r="AU1" s="365">
        <f>AU35</f>
        <v>89263</v>
      </c>
      <c r="AV1" s="366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>
        <v>20</v>
      </c>
      <c r="C3" s="55">
        <v>40</v>
      </c>
      <c r="D3" s="150"/>
      <c r="E3" s="75">
        <v>1</v>
      </c>
      <c r="F3" s="54">
        <v>10.6</v>
      </c>
      <c r="G3" s="55">
        <v>40</v>
      </c>
      <c r="H3" s="150"/>
      <c r="I3" s="75">
        <v>1</v>
      </c>
      <c r="J3" s="54"/>
      <c r="K3" s="55"/>
      <c r="L3" s="150"/>
      <c r="M3" s="75">
        <v>1</v>
      </c>
      <c r="N3" s="54">
        <v>42.78</v>
      </c>
      <c r="O3" s="55">
        <v>461</v>
      </c>
      <c r="P3" s="150"/>
      <c r="Q3" s="75">
        <v>1</v>
      </c>
      <c r="R3" s="54">
        <v>102.85</v>
      </c>
      <c r="S3" s="55">
        <v>1303</v>
      </c>
      <c r="T3" s="150"/>
      <c r="U3" s="75">
        <v>1</v>
      </c>
      <c r="V3" s="54">
        <v>11.2</v>
      </c>
      <c r="W3" s="55">
        <v>125</v>
      </c>
      <c r="X3" s="150"/>
      <c r="Y3" s="75">
        <v>1</v>
      </c>
      <c r="Z3" s="54">
        <v>25</v>
      </c>
      <c r="AA3" s="55">
        <v>25</v>
      </c>
      <c r="AB3" s="150"/>
      <c r="AC3" s="75">
        <v>1</v>
      </c>
      <c r="AD3" s="54">
        <v>43.9</v>
      </c>
      <c r="AE3" s="55">
        <v>475</v>
      </c>
      <c r="AF3" s="150"/>
      <c r="AG3" s="75">
        <v>1</v>
      </c>
      <c r="AH3" s="54">
        <v>17</v>
      </c>
      <c r="AI3" s="55">
        <v>180</v>
      </c>
      <c r="AJ3" s="150">
        <v>4.5833333333333337E-2</v>
      </c>
      <c r="AK3" s="75">
        <v>1</v>
      </c>
      <c r="AL3" s="54">
        <v>17</v>
      </c>
      <c r="AM3" s="55">
        <v>78</v>
      </c>
      <c r="AN3" s="150"/>
      <c r="AO3" s="75">
        <v>1</v>
      </c>
      <c r="AP3" s="54">
        <v>42.370000000000005</v>
      </c>
      <c r="AQ3" s="55">
        <v>340</v>
      </c>
      <c r="AR3" s="150"/>
      <c r="AS3" s="75">
        <v>1</v>
      </c>
      <c r="AT3" s="54">
        <v>31.28</v>
      </c>
      <c r="AU3" s="55">
        <v>366</v>
      </c>
      <c r="AV3" s="150"/>
      <c r="AW3" s="67"/>
    </row>
    <row r="4" spans="1:49" s="49" customFormat="1" ht="11.25" x14ac:dyDescent="0.2">
      <c r="A4" s="73">
        <f>A3+1</f>
        <v>2</v>
      </c>
      <c r="B4" s="54"/>
      <c r="C4" s="55"/>
      <c r="D4" s="150"/>
      <c r="E4" s="75">
        <f>E3+1</f>
        <v>2</v>
      </c>
      <c r="F4" s="54">
        <v>13.1</v>
      </c>
      <c r="G4" s="55">
        <v>40</v>
      </c>
      <c r="H4" s="150"/>
      <c r="I4" s="75">
        <f>I3+1</f>
        <v>2</v>
      </c>
      <c r="J4" s="54">
        <v>6.25</v>
      </c>
      <c r="K4" s="55">
        <v>35</v>
      </c>
      <c r="L4" s="150"/>
      <c r="M4" s="75">
        <f>M3+1</f>
        <v>2</v>
      </c>
      <c r="N4" s="54">
        <v>14.84</v>
      </c>
      <c r="O4" s="55">
        <v>78</v>
      </c>
      <c r="P4" s="150"/>
      <c r="Q4" s="75">
        <f>Q3+1</f>
        <v>2</v>
      </c>
      <c r="R4" s="54">
        <v>41.234999999999999</v>
      </c>
      <c r="S4" s="55">
        <v>448</v>
      </c>
      <c r="T4" s="150"/>
      <c r="U4" s="75">
        <f>U3+1</f>
        <v>2</v>
      </c>
      <c r="V4" s="54">
        <v>55.300000000000004</v>
      </c>
      <c r="W4" s="55">
        <v>771</v>
      </c>
      <c r="X4" s="150"/>
      <c r="Y4" s="75">
        <f>Y3+1</f>
        <v>2</v>
      </c>
      <c r="Z4" s="54">
        <v>40.94</v>
      </c>
      <c r="AA4" s="55">
        <v>213</v>
      </c>
      <c r="AB4" s="150">
        <v>4.2361111111111106E-2</v>
      </c>
      <c r="AC4" s="75">
        <f>AC3+1</f>
        <v>2</v>
      </c>
      <c r="AD4" s="54">
        <v>29.5</v>
      </c>
      <c r="AE4" s="55">
        <v>270</v>
      </c>
      <c r="AF4" s="150"/>
      <c r="AG4" s="75">
        <f>AG3+1</f>
        <v>2</v>
      </c>
      <c r="AH4" s="54">
        <v>8</v>
      </c>
      <c r="AI4" s="55">
        <v>110</v>
      </c>
      <c r="AJ4" s="150"/>
      <c r="AK4" s="75">
        <f>AK3+1</f>
        <v>2</v>
      </c>
      <c r="AL4" s="54">
        <v>12.780000000000001</v>
      </c>
      <c r="AM4" s="55">
        <v>310</v>
      </c>
      <c r="AN4" s="150"/>
      <c r="AO4" s="75">
        <f>AO3+1</f>
        <v>2</v>
      </c>
      <c r="AP4" s="54">
        <v>11.8</v>
      </c>
      <c r="AQ4" s="55">
        <v>100</v>
      </c>
      <c r="AR4" s="150"/>
      <c r="AS4" s="75">
        <f>AS3+1</f>
        <v>2</v>
      </c>
      <c r="AT4" s="54">
        <v>10</v>
      </c>
      <c r="AU4" s="55">
        <v>63</v>
      </c>
      <c r="AV4" s="150">
        <v>0.11388888888888889</v>
      </c>
      <c r="AW4" s="67"/>
    </row>
    <row r="5" spans="1:49" s="49" customFormat="1" ht="11.25" x14ac:dyDescent="0.2">
      <c r="A5" s="73">
        <f t="shared" ref="A5:A33" si="0">A4+1</f>
        <v>3</v>
      </c>
      <c r="B5" s="54">
        <v>15.5</v>
      </c>
      <c r="C5" s="55">
        <v>100</v>
      </c>
      <c r="D5" s="150"/>
      <c r="E5" s="75">
        <f t="shared" ref="E5:E30" si="1">E4+1</f>
        <v>3</v>
      </c>
      <c r="F5" s="54">
        <v>12.6</v>
      </c>
      <c r="G5" s="55">
        <v>40</v>
      </c>
      <c r="H5" s="150"/>
      <c r="I5" s="75">
        <f t="shared" ref="I5:I33" si="2">I4+1</f>
        <v>3</v>
      </c>
      <c r="J5" s="54">
        <v>33.75</v>
      </c>
      <c r="K5" s="55">
        <v>84</v>
      </c>
      <c r="L5" s="150"/>
      <c r="M5" s="75">
        <f t="shared" ref="M5:M32" si="3">M4+1</f>
        <v>3</v>
      </c>
      <c r="N5" s="54">
        <v>16.399999999999999</v>
      </c>
      <c r="O5" s="55">
        <v>325</v>
      </c>
      <c r="P5" s="150"/>
      <c r="Q5" s="75">
        <f t="shared" ref="Q5:Q33" si="4">Q4+1</f>
        <v>3</v>
      </c>
      <c r="R5" s="54">
        <v>10</v>
      </c>
      <c r="S5" s="55">
        <v>115</v>
      </c>
      <c r="T5" s="150"/>
      <c r="U5" s="75">
        <f t="shared" ref="U5:U32" si="5">U4+1</f>
        <v>3</v>
      </c>
      <c r="V5" s="54">
        <v>13.96</v>
      </c>
      <c r="W5" s="55">
        <v>140</v>
      </c>
      <c r="X5" s="150">
        <v>3.125E-2</v>
      </c>
      <c r="Y5" s="75">
        <f t="shared" ref="Y5:Y33" si="6">Y4+1</f>
        <v>3</v>
      </c>
      <c r="Z5" s="54">
        <v>43.77</v>
      </c>
      <c r="AA5" s="55">
        <v>689</v>
      </c>
      <c r="AB5" s="150"/>
      <c r="AC5" s="75">
        <f t="shared" ref="AC5:AC33" si="7">AC4+1</f>
        <v>3</v>
      </c>
      <c r="AD5" s="54">
        <v>16</v>
      </c>
      <c r="AE5" s="55">
        <v>50</v>
      </c>
      <c r="AF5" s="150"/>
      <c r="AG5" s="75">
        <f t="shared" ref="AG5:AG32" si="8">AG4+1</f>
        <v>3</v>
      </c>
      <c r="AH5" s="54">
        <v>8</v>
      </c>
      <c r="AI5" s="55">
        <v>110</v>
      </c>
      <c r="AJ5" s="150"/>
      <c r="AK5" s="75">
        <f t="shared" ref="AK5:AK33" si="9">AK4+1</f>
        <v>3</v>
      </c>
      <c r="AL5" s="54">
        <v>26.66</v>
      </c>
      <c r="AM5" s="55">
        <v>616</v>
      </c>
      <c r="AN5" s="150"/>
      <c r="AO5" s="75">
        <f t="shared" ref="AO5:AO32" si="10">AO4+1</f>
        <v>3</v>
      </c>
      <c r="AP5" s="54"/>
      <c r="AQ5" s="55"/>
      <c r="AR5" s="150"/>
      <c r="AS5" s="75">
        <f t="shared" ref="AS5:AS33" si="11">AS4+1</f>
        <v>3</v>
      </c>
      <c r="AT5" s="54"/>
      <c r="AU5" s="55"/>
      <c r="AV5" s="150">
        <v>3.5416666666666666E-2</v>
      </c>
      <c r="AW5" s="67"/>
    </row>
    <row r="6" spans="1:49" s="49" customFormat="1" ht="11.25" x14ac:dyDescent="0.2">
      <c r="A6" s="73">
        <f t="shared" si="0"/>
        <v>4</v>
      </c>
      <c r="B6" s="54">
        <v>8.02</v>
      </c>
      <c r="C6" s="55">
        <v>153</v>
      </c>
      <c r="D6" s="150"/>
      <c r="E6" s="75">
        <f t="shared" si="1"/>
        <v>4</v>
      </c>
      <c r="F6" s="54">
        <v>23.610000000000003</v>
      </c>
      <c r="G6" s="55">
        <v>74</v>
      </c>
      <c r="H6" s="150">
        <v>2.4305555555555556E-2</v>
      </c>
      <c r="I6" s="75">
        <f t="shared" si="2"/>
        <v>4</v>
      </c>
      <c r="J6" s="54">
        <v>27.009999999999998</v>
      </c>
      <c r="K6" s="55">
        <v>163</v>
      </c>
      <c r="L6" s="150"/>
      <c r="M6" s="75">
        <f t="shared" si="3"/>
        <v>4</v>
      </c>
      <c r="N6" s="54">
        <v>5.5</v>
      </c>
      <c r="O6" s="55">
        <v>3</v>
      </c>
      <c r="P6" s="150"/>
      <c r="Q6" s="75">
        <f t="shared" si="4"/>
        <v>4</v>
      </c>
      <c r="R6" s="54">
        <v>14.74</v>
      </c>
      <c r="S6" s="55">
        <v>365</v>
      </c>
      <c r="T6" s="150"/>
      <c r="U6" s="75">
        <f t="shared" si="5"/>
        <v>4</v>
      </c>
      <c r="V6" s="54">
        <v>9.0500000000000007</v>
      </c>
      <c r="W6" s="55">
        <v>15</v>
      </c>
      <c r="X6" s="150"/>
      <c r="Y6" s="75">
        <f t="shared" si="6"/>
        <v>4</v>
      </c>
      <c r="Z6" s="54">
        <v>53.4</v>
      </c>
      <c r="AA6" s="55">
        <v>690</v>
      </c>
      <c r="AB6" s="150"/>
      <c r="AC6" s="75">
        <f t="shared" si="7"/>
        <v>4</v>
      </c>
      <c r="AD6" s="54">
        <v>94.61</v>
      </c>
      <c r="AE6" s="55">
        <v>1470</v>
      </c>
      <c r="AF6" s="150"/>
      <c r="AG6" s="75">
        <f t="shared" si="8"/>
        <v>4</v>
      </c>
      <c r="AH6" s="54">
        <v>15.7</v>
      </c>
      <c r="AI6" s="55">
        <v>387</v>
      </c>
      <c r="AJ6" s="150"/>
      <c r="AK6" s="75">
        <f t="shared" si="9"/>
        <v>4</v>
      </c>
      <c r="AL6" s="54">
        <v>15.63</v>
      </c>
      <c r="AM6" s="55">
        <v>50</v>
      </c>
      <c r="AN6" s="150"/>
      <c r="AO6" s="75">
        <f t="shared" si="10"/>
        <v>4</v>
      </c>
      <c r="AP6" s="54">
        <v>11</v>
      </c>
      <c r="AQ6" s="55">
        <v>60</v>
      </c>
      <c r="AR6" s="150">
        <v>5.9722222222222225E-2</v>
      </c>
      <c r="AS6" s="75">
        <f t="shared" si="11"/>
        <v>4</v>
      </c>
      <c r="AT6" s="54">
        <v>11.6</v>
      </c>
      <c r="AU6" s="55">
        <v>150</v>
      </c>
      <c r="AV6" s="150"/>
      <c r="AW6" s="67"/>
    </row>
    <row r="7" spans="1:49" s="49" customFormat="1" ht="11.25" x14ac:dyDescent="0.2">
      <c r="A7" s="73">
        <f t="shared" si="0"/>
        <v>5</v>
      </c>
      <c r="B7" s="54">
        <v>12</v>
      </c>
      <c r="C7" s="55">
        <v>8</v>
      </c>
      <c r="D7" s="150"/>
      <c r="E7" s="75">
        <f t="shared" si="1"/>
        <v>5</v>
      </c>
      <c r="F7" s="54">
        <v>30.660000000000004</v>
      </c>
      <c r="G7" s="55">
        <v>96</v>
      </c>
      <c r="H7" s="150"/>
      <c r="I7" s="75">
        <f t="shared" si="2"/>
        <v>5</v>
      </c>
      <c r="J7" s="54"/>
      <c r="K7" s="55"/>
      <c r="L7" s="150"/>
      <c r="M7" s="75">
        <f t="shared" si="3"/>
        <v>5</v>
      </c>
      <c r="N7" s="54">
        <v>18.54</v>
      </c>
      <c r="O7" s="55">
        <v>88</v>
      </c>
      <c r="P7" s="150"/>
      <c r="Q7" s="75">
        <f t="shared" si="4"/>
        <v>5</v>
      </c>
      <c r="R7" s="54"/>
      <c r="S7" s="55"/>
      <c r="T7" s="150"/>
      <c r="U7" s="75">
        <f t="shared" si="5"/>
        <v>5</v>
      </c>
      <c r="V7" s="54">
        <v>16.68</v>
      </c>
      <c r="W7" s="55">
        <v>221</v>
      </c>
      <c r="X7" s="150"/>
      <c r="Y7" s="75">
        <f t="shared" si="6"/>
        <v>5</v>
      </c>
      <c r="Z7" s="54">
        <v>66.209999999999994</v>
      </c>
      <c r="AA7" s="55">
        <v>730</v>
      </c>
      <c r="AB7" s="150"/>
      <c r="AC7" s="75">
        <f t="shared" si="7"/>
        <v>5</v>
      </c>
      <c r="AD7" s="54">
        <v>34.51</v>
      </c>
      <c r="AE7" s="55">
        <v>385</v>
      </c>
      <c r="AF7" s="150">
        <v>4.2361111111111106E-2</v>
      </c>
      <c r="AG7" s="75">
        <f t="shared" si="8"/>
        <v>5</v>
      </c>
      <c r="AH7" s="54">
        <v>12.780000000000001</v>
      </c>
      <c r="AI7" s="55">
        <v>310</v>
      </c>
      <c r="AJ7" s="150"/>
      <c r="AK7" s="75">
        <f t="shared" si="9"/>
        <v>5</v>
      </c>
      <c r="AL7" s="54">
        <v>17.2</v>
      </c>
      <c r="AM7" s="55">
        <v>417</v>
      </c>
      <c r="AN7" s="150"/>
      <c r="AO7" s="75">
        <f t="shared" si="10"/>
        <v>5</v>
      </c>
      <c r="AP7" s="54">
        <v>15</v>
      </c>
      <c r="AQ7" s="55">
        <v>30</v>
      </c>
      <c r="AR7" s="150"/>
      <c r="AS7" s="75">
        <f t="shared" si="11"/>
        <v>5</v>
      </c>
      <c r="AT7" s="54">
        <v>20.2</v>
      </c>
      <c r="AU7" s="55">
        <v>180</v>
      </c>
      <c r="AV7" s="150"/>
      <c r="AW7" s="67"/>
    </row>
    <row r="8" spans="1:49" s="49" customFormat="1" ht="11.25" x14ac:dyDescent="0.2">
      <c r="A8" s="73">
        <f t="shared" si="0"/>
        <v>6</v>
      </c>
      <c r="B8" s="54">
        <v>25</v>
      </c>
      <c r="C8" s="55">
        <v>113</v>
      </c>
      <c r="D8" s="150"/>
      <c r="E8" s="75">
        <f t="shared" si="1"/>
        <v>6</v>
      </c>
      <c r="F8" s="54">
        <v>10.3</v>
      </c>
      <c r="G8" s="55">
        <v>60</v>
      </c>
      <c r="H8" s="150"/>
      <c r="I8" s="75">
        <f t="shared" si="2"/>
        <v>6</v>
      </c>
      <c r="J8" s="54">
        <v>10.3</v>
      </c>
      <c r="K8" s="55">
        <v>60</v>
      </c>
      <c r="L8" s="150"/>
      <c r="M8" s="75">
        <f t="shared" si="3"/>
        <v>6</v>
      </c>
      <c r="N8" s="54">
        <v>35.54</v>
      </c>
      <c r="O8" s="55">
        <v>206</v>
      </c>
      <c r="P8" s="150"/>
      <c r="Q8" s="75">
        <f t="shared" si="4"/>
        <v>6</v>
      </c>
      <c r="R8" s="54">
        <v>10.5</v>
      </c>
      <c r="S8" s="55">
        <v>7</v>
      </c>
      <c r="T8" s="150">
        <v>4.1666666666666664E-2</v>
      </c>
      <c r="U8" s="75">
        <f t="shared" si="5"/>
        <v>6</v>
      </c>
      <c r="V8" s="54"/>
      <c r="W8" s="55"/>
      <c r="X8" s="150"/>
      <c r="Y8" s="75">
        <f t="shared" si="6"/>
        <v>6</v>
      </c>
      <c r="Z8" s="54">
        <v>35.244999999999997</v>
      </c>
      <c r="AA8" s="55">
        <v>97</v>
      </c>
      <c r="AB8" s="150">
        <v>4.8611111111111112E-2</v>
      </c>
      <c r="AC8" s="75">
        <f t="shared" si="7"/>
        <v>6</v>
      </c>
      <c r="AD8" s="54">
        <v>16</v>
      </c>
      <c r="AE8" s="55">
        <v>50</v>
      </c>
      <c r="AF8" s="150"/>
      <c r="AG8" s="75">
        <f t="shared" si="8"/>
        <v>6</v>
      </c>
      <c r="AH8" s="54">
        <v>8</v>
      </c>
      <c r="AI8" s="55">
        <v>110</v>
      </c>
      <c r="AJ8" s="150"/>
      <c r="AK8" s="75">
        <f t="shared" si="9"/>
        <v>6</v>
      </c>
      <c r="AL8" s="54">
        <v>36.619999999999997</v>
      </c>
      <c r="AM8" s="55">
        <v>458</v>
      </c>
      <c r="AN8" s="150"/>
      <c r="AO8" s="75">
        <f t="shared" si="10"/>
        <v>6</v>
      </c>
      <c r="AP8" s="54">
        <v>18.04</v>
      </c>
      <c r="AQ8" s="55">
        <v>145</v>
      </c>
      <c r="AR8" s="150"/>
      <c r="AS8" s="75">
        <f t="shared" si="11"/>
        <v>6</v>
      </c>
      <c r="AT8" s="54">
        <v>12.9</v>
      </c>
      <c r="AU8" s="55">
        <v>40</v>
      </c>
      <c r="AV8" s="150"/>
      <c r="AW8" s="67"/>
    </row>
    <row r="9" spans="1:49" s="49" customFormat="1" ht="11.25" x14ac:dyDescent="0.2">
      <c r="A9" s="73">
        <f t="shared" si="0"/>
        <v>7</v>
      </c>
      <c r="B9" s="54">
        <v>23.53</v>
      </c>
      <c r="C9" s="55">
        <v>130</v>
      </c>
      <c r="D9" s="150">
        <v>4.1666666666666664E-2</v>
      </c>
      <c r="E9" s="75">
        <f t="shared" si="1"/>
        <v>7</v>
      </c>
      <c r="F9" s="54">
        <v>10.5</v>
      </c>
      <c r="G9" s="55">
        <v>12</v>
      </c>
      <c r="H9" s="150"/>
      <c r="I9" s="75">
        <f t="shared" si="2"/>
        <v>7</v>
      </c>
      <c r="J9" s="54"/>
      <c r="K9" s="55"/>
      <c r="L9" s="150"/>
      <c r="M9" s="75">
        <f t="shared" si="3"/>
        <v>7</v>
      </c>
      <c r="N9" s="54">
        <v>11.4</v>
      </c>
      <c r="O9" s="55">
        <v>40</v>
      </c>
      <c r="P9" s="150">
        <v>4.1666666666666664E-2</v>
      </c>
      <c r="Q9" s="75">
        <f t="shared" si="4"/>
        <v>7</v>
      </c>
      <c r="R9" s="54">
        <v>12.55</v>
      </c>
      <c r="S9" s="55">
        <v>162</v>
      </c>
      <c r="T9" s="150"/>
      <c r="U9" s="75">
        <f t="shared" si="5"/>
        <v>7</v>
      </c>
      <c r="V9" s="54"/>
      <c r="W9" s="55"/>
      <c r="X9" s="150"/>
      <c r="Y9" s="75">
        <f t="shared" si="6"/>
        <v>7</v>
      </c>
      <c r="Z9" s="54">
        <v>61.69</v>
      </c>
      <c r="AA9" s="55">
        <v>575</v>
      </c>
      <c r="AB9" s="150"/>
      <c r="AC9" s="75">
        <f t="shared" si="7"/>
        <v>7</v>
      </c>
      <c r="AD9" s="54">
        <v>13.1</v>
      </c>
      <c r="AE9" s="55">
        <v>80</v>
      </c>
      <c r="AF9" s="150"/>
      <c r="AG9" s="75">
        <f t="shared" si="8"/>
        <v>7</v>
      </c>
      <c r="AH9" s="54">
        <v>14.5</v>
      </c>
      <c r="AI9" s="55">
        <v>75</v>
      </c>
      <c r="AJ9" s="150"/>
      <c r="AK9" s="75">
        <f t="shared" si="9"/>
        <v>7</v>
      </c>
      <c r="AL9" s="54">
        <v>25.27</v>
      </c>
      <c r="AM9" s="55">
        <v>113</v>
      </c>
      <c r="AN9" s="150">
        <v>3.125E-2</v>
      </c>
      <c r="AO9" s="75">
        <f t="shared" si="10"/>
        <v>7</v>
      </c>
      <c r="AP9" s="54">
        <v>14.3</v>
      </c>
      <c r="AQ9" s="55">
        <v>50</v>
      </c>
      <c r="AR9" s="150"/>
      <c r="AS9" s="75">
        <f t="shared" si="11"/>
        <v>7</v>
      </c>
      <c r="AT9" s="54"/>
      <c r="AU9" s="55"/>
      <c r="AV9" s="150"/>
      <c r="AW9" s="67"/>
    </row>
    <row r="10" spans="1:49" s="49" customFormat="1" ht="11.25" x14ac:dyDescent="0.2">
      <c r="A10" s="73">
        <f t="shared" si="0"/>
        <v>8</v>
      </c>
      <c r="B10" s="54">
        <v>15</v>
      </c>
      <c r="C10" s="55">
        <v>10</v>
      </c>
      <c r="D10" s="150"/>
      <c r="E10" s="75">
        <f t="shared" si="1"/>
        <v>8</v>
      </c>
      <c r="F10" s="54">
        <v>11.200000000000001</v>
      </c>
      <c r="G10" s="55">
        <v>48</v>
      </c>
      <c r="H10" s="150"/>
      <c r="I10" s="75">
        <f t="shared" si="2"/>
        <v>8</v>
      </c>
      <c r="J10" s="54">
        <v>15.5</v>
      </c>
      <c r="K10" s="55">
        <v>100</v>
      </c>
      <c r="L10" s="150"/>
      <c r="M10" s="75">
        <f t="shared" si="3"/>
        <v>8</v>
      </c>
      <c r="N10" s="54">
        <v>45.680000000000007</v>
      </c>
      <c r="O10" s="55">
        <v>221</v>
      </c>
      <c r="P10" s="150"/>
      <c r="Q10" s="75">
        <f t="shared" si="4"/>
        <v>8</v>
      </c>
      <c r="R10" s="54">
        <v>10</v>
      </c>
      <c r="S10" s="55">
        <v>115</v>
      </c>
      <c r="T10" s="150"/>
      <c r="U10" s="75">
        <f t="shared" si="5"/>
        <v>8</v>
      </c>
      <c r="V10" s="54"/>
      <c r="W10" s="55"/>
      <c r="X10" s="150"/>
      <c r="Y10" s="75">
        <f t="shared" si="6"/>
        <v>8</v>
      </c>
      <c r="Z10" s="54">
        <v>16</v>
      </c>
      <c r="AA10" s="55">
        <v>50</v>
      </c>
      <c r="AB10" s="150">
        <v>4.1666666666666664E-2</v>
      </c>
      <c r="AC10" s="75">
        <f t="shared" si="7"/>
        <v>8</v>
      </c>
      <c r="AD10" s="54">
        <v>11.99</v>
      </c>
      <c r="AE10" s="55">
        <v>79</v>
      </c>
      <c r="AF10" s="150"/>
      <c r="AG10" s="75">
        <f t="shared" si="8"/>
        <v>8</v>
      </c>
      <c r="AH10" s="49">
        <v>53.019999999999996</v>
      </c>
      <c r="AI10" s="49">
        <v>586</v>
      </c>
      <c r="AJ10" s="150"/>
      <c r="AK10" s="75">
        <f t="shared" si="9"/>
        <v>8</v>
      </c>
      <c r="AL10" s="54">
        <v>10.5</v>
      </c>
      <c r="AM10" s="55">
        <v>240</v>
      </c>
      <c r="AN10" s="150"/>
      <c r="AO10" s="75">
        <f t="shared" si="10"/>
        <v>8</v>
      </c>
      <c r="AP10" s="54">
        <v>16.75</v>
      </c>
      <c r="AQ10" s="55">
        <v>40</v>
      </c>
      <c r="AR10" s="150"/>
      <c r="AS10" s="75">
        <f t="shared" si="11"/>
        <v>8</v>
      </c>
      <c r="AT10" s="54"/>
      <c r="AU10" s="55"/>
      <c r="AV10" s="150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50"/>
      <c r="E11" s="75">
        <f t="shared" si="1"/>
        <v>9</v>
      </c>
      <c r="F11" s="54"/>
      <c r="G11" s="55"/>
      <c r="H11" s="150"/>
      <c r="I11" s="75">
        <f t="shared" si="2"/>
        <v>9</v>
      </c>
      <c r="J11" s="54">
        <v>12.85</v>
      </c>
      <c r="K11" s="55">
        <v>52</v>
      </c>
      <c r="L11" s="150"/>
      <c r="M11" s="75">
        <f t="shared" si="3"/>
        <v>9</v>
      </c>
      <c r="N11" s="54">
        <v>29.6</v>
      </c>
      <c r="O11" s="55">
        <v>246</v>
      </c>
      <c r="P11" s="150"/>
      <c r="Q11" s="75">
        <f t="shared" si="4"/>
        <v>9</v>
      </c>
      <c r="R11" s="54"/>
      <c r="S11" s="55"/>
      <c r="T11" s="150"/>
      <c r="U11" s="75">
        <f t="shared" si="5"/>
        <v>9</v>
      </c>
      <c r="V11" s="54"/>
      <c r="W11" s="55"/>
      <c r="X11" s="150"/>
      <c r="Y11" s="75">
        <f t="shared" si="6"/>
        <v>9</v>
      </c>
      <c r="Z11" s="54">
        <v>16</v>
      </c>
      <c r="AA11" s="55">
        <v>65</v>
      </c>
      <c r="AB11" s="150"/>
      <c r="AC11" s="75">
        <f t="shared" si="7"/>
        <v>9</v>
      </c>
      <c r="AD11" s="54">
        <v>16</v>
      </c>
      <c r="AE11" s="55">
        <v>50</v>
      </c>
      <c r="AF11" s="150"/>
      <c r="AG11" s="75">
        <f t="shared" si="8"/>
        <v>9</v>
      </c>
      <c r="AH11" s="54">
        <v>51.95</v>
      </c>
      <c r="AI11" s="55">
        <v>595</v>
      </c>
      <c r="AJ11" s="150"/>
      <c r="AK11" s="75">
        <f t="shared" si="9"/>
        <v>9</v>
      </c>
      <c r="AL11" s="54">
        <v>14.5</v>
      </c>
      <c r="AM11" s="55">
        <v>40</v>
      </c>
      <c r="AN11" s="150"/>
      <c r="AO11" s="75">
        <f t="shared" si="10"/>
        <v>9</v>
      </c>
      <c r="AP11" s="54">
        <v>10.1</v>
      </c>
      <c r="AQ11" s="55">
        <v>306</v>
      </c>
      <c r="AR11" s="150"/>
      <c r="AS11" s="75">
        <f t="shared" si="11"/>
        <v>9</v>
      </c>
      <c r="AT11" s="54"/>
      <c r="AU11" s="55"/>
      <c r="AV11" s="150">
        <v>7.5694444444444439E-2</v>
      </c>
      <c r="AW11" s="67"/>
    </row>
    <row r="12" spans="1:49" s="49" customFormat="1" ht="11.25" x14ac:dyDescent="0.2">
      <c r="A12" s="73">
        <f t="shared" si="0"/>
        <v>10</v>
      </c>
      <c r="B12" s="54">
        <v>11</v>
      </c>
      <c r="C12" s="55">
        <v>50</v>
      </c>
      <c r="D12" s="150"/>
      <c r="E12" s="75">
        <f t="shared" si="1"/>
        <v>10</v>
      </c>
      <c r="F12" s="54"/>
      <c r="G12" s="55"/>
      <c r="H12" s="150"/>
      <c r="I12" s="75">
        <f t="shared" si="2"/>
        <v>10</v>
      </c>
      <c r="J12" s="54">
        <v>43.6</v>
      </c>
      <c r="K12" s="55">
        <v>448</v>
      </c>
      <c r="L12" s="150"/>
      <c r="M12" s="75">
        <f t="shared" si="3"/>
        <v>10</v>
      </c>
      <c r="N12" s="54">
        <v>13.26</v>
      </c>
      <c r="O12" s="55">
        <v>80</v>
      </c>
      <c r="P12" s="150"/>
      <c r="Q12" s="75">
        <f t="shared" si="4"/>
        <v>10</v>
      </c>
      <c r="R12" s="54">
        <v>14.74</v>
      </c>
      <c r="S12" s="55">
        <v>365</v>
      </c>
      <c r="T12" s="150"/>
      <c r="U12" s="75">
        <f t="shared" si="5"/>
        <v>10</v>
      </c>
      <c r="V12" s="54"/>
      <c r="W12" s="55"/>
      <c r="X12" s="150"/>
      <c r="Y12" s="75">
        <f t="shared" si="6"/>
        <v>10</v>
      </c>
      <c r="Z12" s="54">
        <v>17.190000000000001</v>
      </c>
      <c r="AA12" s="55">
        <v>345</v>
      </c>
      <c r="AB12" s="150"/>
      <c r="AC12" s="75">
        <f t="shared" si="7"/>
        <v>10</v>
      </c>
      <c r="AD12" s="54">
        <v>27.06</v>
      </c>
      <c r="AE12" s="55">
        <v>160</v>
      </c>
      <c r="AF12" s="150"/>
      <c r="AG12" s="75">
        <f t="shared" si="8"/>
        <v>10</v>
      </c>
      <c r="AH12" s="49">
        <v>14.309999999999999</v>
      </c>
      <c r="AI12" s="49">
        <v>101</v>
      </c>
      <c r="AJ12" s="150"/>
      <c r="AK12" s="75">
        <f t="shared" si="9"/>
        <v>10</v>
      </c>
      <c r="AL12" s="54">
        <v>24.66</v>
      </c>
      <c r="AM12" s="55">
        <v>25</v>
      </c>
      <c r="AN12" s="150"/>
      <c r="AO12" s="75">
        <f t="shared" si="10"/>
        <v>10</v>
      </c>
      <c r="AP12" s="54"/>
      <c r="AQ12" s="55"/>
      <c r="AR12" s="150">
        <v>8.5416666666666655E-2</v>
      </c>
      <c r="AS12" s="75">
        <f t="shared" si="11"/>
        <v>10</v>
      </c>
      <c r="AT12" s="54"/>
      <c r="AU12" s="55"/>
      <c r="AV12" s="150"/>
      <c r="AW12" s="67"/>
    </row>
    <row r="13" spans="1:49" s="49" customFormat="1" ht="11.25" x14ac:dyDescent="0.2">
      <c r="A13" s="73">
        <f t="shared" si="0"/>
        <v>11</v>
      </c>
      <c r="B13" s="54">
        <v>10.3</v>
      </c>
      <c r="C13" s="55">
        <v>60</v>
      </c>
      <c r="D13" s="150"/>
      <c r="E13" s="75">
        <f t="shared" si="1"/>
        <v>11</v>
      </c>
      <c r="F13" s="54">
        <v>18.3</v>
      </c>
      <c r="G13" s="55">
        <v>160</v>
      </c>
      <c r="H13" s="150">
        <v>4.1666666666666664E-2</v>
      </c>
      <c r="I13" s="75">
        <f t="shared" si="2"/>
        <v>11</v>
      </c>
      <c r="J13" s="54">
        <v>31.17</v>
      </c>
      <c r="K13" s="55">
        <v>60</v>
      </c>
      <c r="L13" s="150">
        <v>2.0833333333333332E-2</v>
      </c>
      <c r="M13" s="75">
        <f t="shared" si="3"/>
        <v>11</v>
      </c>
      <c r="N13" s="54"/>
      <c r="O13" s="55"/>
      <c r="P13" s="150"/>
      <c r="Q13" s="75">
        <f t="shared" si="4"/>
        <v>11</v>
      </c>
      <c r="R13" s="54">
        <v>16.8</v>
      </c>
      <c r="S13" s="55">
        <v>330</v>
      </c>
      <c r="T13" s="150"/>
      <c r="U13" s="75">
        <f t="shared" si="5"/>
        <v>11</v>
      </c>
      <c r="V13" s="54">
        <v>31.75</v>
      </c>
      <c r="W13" s="55">
        <v>194</v>
      </c>
      <c r="X13" s="150"/>
      <c r="Y13" s="75">
        <f t="shared" si="6"/>
        <v>11</v>
      </c>
      <c r="Z13" s="54">
        <v>18.27</v>
      </c>
      <c r="AA13" s="55">
        <v>95</v>
      </c>
      <c r="AB13" s="150"/>
      <c r="AC13" s="75">
        <f t="shared" si="7"/>
        <v>11</v>
      </c>
      <c r="AD13" s="54">
        <v>47.2</v>
      </c>
      <c r="AE13" s="55">
        <v>1305</v>
      </c>
      <c r="AF13" s="150">
        <v>3.125E-2</v>
      </c>
      <c r="AG13" s="75">
        <f t="shared" si="8"/>
        <v>11</v>
      </c>
      <c r="AH13" s="54">
        <v>13.55</v>
      </c>
      <c r="AI13" s="55">
        <v>40</v>
      </c>
      <c r="AJ13" s="150"/>
      <c r="AK13" s="75">
        <f t="shared" si="9"/>
        <v>11</v>
      </c>
      <c r="AL13" s="54">
        <v>10</v>
      </c>
      <c r="AM13" s="55">
        <v>30</v>
      </c>
      <c r="AN13" s="150"/>
      <c r="AO13" s="75">
        <f t="shared" si="10"/>
        <v>11</v>
      </c>
      <c r="AP13" s="54">
        <v>20.100000000000001</v>
      </c>
      <c r="AQ13" s="55">
        <v>10</v>
      </c>
      <c r="AR13" s="150"/>
      <c r="AS13" s="75">
        <f t="shared" si="11"/>
        <v>11</v>
      </c>
      <c r="AT13" s="54"/>
      <c r="AU13" s="55"/>
      <c r="AV13" s="150">
        <v>8.3333333333333332E-3</v>
      </c>
      <c r="AW13" s="67"/>
    </row>
    <row r="14" spans="1:49" s="49" customFormat="1" ht="11.25" x14ac:dyDescent="0.2">
      <c r="A14" s="73">
        <f t="shared" si="0"/>
        <v>12</v>
      </c>
      <c r="B14" s="54">
        <v>10.26</v>
      </c>
      <c r="C14" s="55">
        <v>70</v>
      </c>
      <c r="D14" s="150"/>
      <c r="E14" s="75">
        <f t="shared" si="1"/>
        <v>12</v>
      </c>
      <c r="F14" s="54">
        <v>26.16</v>
      </c>
      <c r="G14" s="55">
        <v>380</v>
      </c>
      <c r="H14" s="150">
        <v>2.0833333333333332E-2</v>
      </c>
      <c r="I14" s="75">
        <f t="shared" si="2"/>
        <v>12</v>
      </c>
      <c r="J14" s="54">
        <v>12.3</v>
      </c>
      <c r="K14" s="55">
        <v>65</v>
      </c>
      <c r="L14" s="150"/>
      <c r="M14" s="75">
        <f t="shared" si="3"/>
        <v>12</v>
      </c>
      <c r="N14" s="54">
        <v>15</v>
      </c>
      <c r="O14" s="55">
        <v>25</v>
      </c>
      <c r="P14" s="150"/>
      <c r="Q14" s="75">
        <f t="shared" si="4"/>
        <v>12</v>
      </c>
      <c r="R14" s="54">
        <v>26.950000000000003</v>
      </c>
      <c r="S14" s="55">
        <v>842</v>
      </c>
      <c r="T14" s="150">
        <v>6.25E-2</v>
      </c>
      <c r="U14" s="75">
        <f t="shared" si="5"/>
        <v>12</v>
      </c>
      <c r="V14" s="54">
        <v>28.29</v>
      </c>
      <c r="W14" s="55">
        <v>531</v>
      </c>
      <c r="X14" s="150"/>
      <c r="Y14" s="75">
        <f t="shared" si="6"/>
        <v>12</v>
      </c>
      <c r="Z14" s="54"/>
      <c r="AA14" s="55"/>
      <c r="AB14" s="150">
        <v>9.930555555555555E-2</v>
      </c>
      <c r="AC14" s="75">
        <f t="shared" si="7"/>
        <v>12</v>
      </c>
      <c r="AD14" s="54">
        <v>130.34</v>
      </c>
      <c r="AE14" s="78">
        <v>1420</v>
      </c>
      <c r="AF14" s="150"/>
      <c r="AG14" s="75">
        <f t="shared" si="8"/>
        <v>12</v>
      </c>
      <c r="AH14" s="54">
        <v>6.1400000000000006</v>
      </c>
      <c r="AI14" s="55">
        <v>33</v>
      </c>
      <c r="AJ14" s="150">
        <v>2.7083333333333334E-2</v>
      </c>
      <c r="AK14" s="75">
        <f t="shared" si="9"/>
        <v>12</v>
      </c>
      <c r="AL14" s="54"/>
      <c r="AM14" s="55"/>
      <c r="AN14" s="150"/>
      <c r="AO14" s="75">
        <f t="shared" si="10"/>
        <v>12</v>
      </c>
      <c r="AP14" s="54">
        <v>10.92</v>
      </c>
      <c r="AQ14" s="55">
        <v>312</v>
      </c>
      <c r="AR14" s="150"/>
      <c r="AS14" s="75">
        <f t="shared" si="11"/>
        <v>12</v>
      </c>
      <c r="AT14" s="54">
        <v>11.5</v>
      </c>
      <c r="AU14" s="55">
        <v>90</v>
      </c>
      <c r="AV14" s="150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50"/>
      <c r="E15" s="75">
        <f t="shared" si="1"/>
        <v>13</v>
      </c>
      <c r="F15" s="54"/>
      <c r="G15" s="55"/>
      <c r="H15" s="150"/>
      <c r="I15" s="75">
        <f t="shared" si="2"/>
        <v>13</v>
      </c>
      <c r="J15" s="54">
        <v>15.5</v>
      </c>
      <c r="K15" s="55">
        <v>100</v>
      </c>
      <c r="L15" s="150"/>
      <c r="M15" s="75">
        <f t="shared" si="3"/>
        <v>13</v>
      </c>
      <c r="N15" s="54">
        <v>19.3</v>
      </c>
      <c r="O15" s="55">
        <v>130</v>
      </c>
      <c r="P15" s="150"/>
      <c r="Q15" s="75">
        <f t="shared" si="4"/>
        <v>13</v>
      </c>
      <c r="R15" s="54">
        <v>35.269999999999996</v>
      </c>
      <c r="S15" s="55">
        <v>422</v>
      </c>
      <c r="T15" s="150">
        <v>3.4722222222222224E-2</v>
      </c>
      <c r="U15" s="75">
        <f t="shared" si="5"/>
        <v>13</v>
      </c>
      <c r="V15" s="54">
        <v>17.649999999999999</v>
      </c>
      <c r="W15" s="55">
        <v>191</v>
      </c>
      <c r="X15" s="150"/>
      <c r="Y15" s="75">
        <f t="shared" si="6"/>
        <v>13</v>
      </c>
      <c r="Z15" s="54">
        <v>20.420000000000002</v>
      </c>
      <c r="AA15" s="55">
        <v>66</v>
      </c>
      <c r="AB15" s="150"/>
      <c r="AC15" s="75">
        <f t="shared" si="7"/>
        <v>13</v>
      </c>
      <c r="AD15" s="54">
        <v>14.84</v>
      </c>
      <c r="AE15" s="55">
        <v>78</v>
      </c>
      <c r="AF15" s="150"/>
      <c r="AG15" s="75">
        <f t="shared" si="8"/>
        <v>13</v>
      </c>
      <c r="AH15" s="54">
        <v>6.1400000000000006</v>
      </c>
      <c r="AI15" s="55">
        <v>33</v>
      </c>
      <c r="AJ15" s="150"/>
      <c r="AK15" s="75">
        <f t="shared" si="9"/>
        <v>13</v>
      </c>
      <c r="AL15" s="54">
        <v>63.8</v>
      </c>
      <c r="AM15" s="55">
        <v>386</v>
      </c>
      <c r="AN15" s="150"/>
      <c r="AO15" s="75">
        <f t="shared" si="10"/>
        <v>13</v>
      </c>
      <c r="AP15" s="54">
        <v>20.9</v>
      </c>
      <c r="AQ15" s="55">
        <v>105</v>
      </c>
      <c r="AR15" s="150"/>
      <c r="AS15" s="75">
        <f t="shared" si="11"/>
        <v>13</v>
      </c>
      <c r="AT15" s="54">
        <v>13.8</v>
      </c>
      <c r="AU15" s="55">
        <v>115</v>
      </c>
      <c r="AV15" s="150"/>
      <c r="AW15" s="67"/>
    </row>
    <row r="16" spans="1:49" s="49" customFormat="1" ht="11.25" x14ac:dyDescent="0.2">
      <c r="A16" s="73">
        <f t="shared" si="0"/>
        <v>14</v>
      </c>
      <c r="B16" s="54">
        <v>12.56</v>
      </c>
      <c r="C16" s="55">
        <v>64</v>
      </c>
      <c r="D16" s="150"/>
      <c r="E16" s="75">
        <f t="shared" si="1"/>
        <v>14</v>
      </c>
      <c r="F16" s="54"/>
      <c r="G16" s="55"/>
      <c r="H16" s="150"/>
      <c r="I16" s="75">
        <f t="shared" si="2"/>
        <v>14</v>
      </c>
      <c r="J16" s="54">
        <v>13.57</v>
      </c>
      <c r="K16" s="55">
        <v>85</v>
      </c>
      <c r="L16" s="150"/>
      <c r="M16" s="75">
        <f t="shared" si="3"/>
        <v>14</v>
      </c>
      <c r="N16" s="54">
        <v>94.1</v>
      </c>
      <c r="O16" s="55">
        <v>1295</v>
      </c>
      <c r="P16" s="150"/>
      <c r="Q16" s="75">
        <f t="shared" si="4"/>
        <v>14</v>
      </c>
      <c r="R16" s="54">
        <v>14.91</v>
      </c>
      <c r="S16" s="49">
        <v>143</v>
      </c>
      <c r="T16" s="150"/>
      <c r="U16" s="75">
        <f t="shared" si="5"/>
        <v>14</v>
      </c>
      <c r="V16" s="54">
        <v>27.249999999999996</v>
      </c>
      <c r="W16" s="55">
        <v>187</v>
      </c>
      <c r="X16" s="150"/>
      <c r="Y16" s="75">
        <f t="shared" si="6"/>
        <v>14</v>
      </c>
      <c r="Z16" s="54">
        <v>38.799999999999997</v>
      </c>
      <c r="AA16" s="55">
        <v>510</v>
      </c>
      <c r="AB16" s="150"/>
      <c r="AC16" s="75">
        <f t="shared" si="7"/>
        <v>14</v>
      </c>
      <c r="AD16" s="54">
        <v>14.84</v>
      </c>
      <c r="AE16" s="55">
        <v>78</v>
      </c>
      <c r="AF16" s="150"/>
      <c r="AG16" s="75">
        <f t="shared" si="8"/>
        <v>14</v>
      </c>
      <c r="AH16" s="54">
        <v>14.7</v>
      </c>
      <c r="AI16" s="55">
        <v>70</v>
      </c>
      <c r="AJ16" s="150"/>
      <c r="AK16" s="75">
        <f t="shared" si="9"/>
        <v>14</v>
      </c>
      <c r="AL16" s="54">
        <v>35.6</v>
      </c>
      <c r="AM16" s="55">
        <v>513</v>
      </c>
      <c r="AN16" s="150"/>
      <c r="AO16" s="75">
        <f t="shared" si="10"/>
        <v>14</v>
      </c>
      <c r="AP16" s="54">
        <v>10.1</v>
      </c>
      <c r="AQ16" s="55">
        <v>306</v>
      </c>
      <c r="AR16" s="150"/>
      <c r="AS16" s="75">
        <f t="shared" si="11"/>
        <v>14</v>
      </c>
      <c r="AT16" s="54">
        <v>12.7</v>
      </c>
      <c r="AU16" s="55">
        <v>23</v>
      </c>
      <c r="AV16" s="150"/>
      <c r="AW16" s="67"/>
    </row>
    <row r="17" spans="1:49" s="49" customFormat="1" ht="11.25" x14ac:dyDescent="0.2">
      <c r="A17" s="73">
        <f t="shared" si="0"/>
        <v>15</v>
      </c>
      <c r="B17" s="54">
        <v>20.560000000000002</v>
      </c>
      <c r="C17" s="55">
        <v>130</v>
      </c>
      <c r="D17" s="150"/>
      <c r="E17" s="75">
        <f t="shared" si="1"/>
        <v>15</v>
      </c>
      <c r="F17" s="54">
        <v>13.6</v>
      </c>
      <c r="G17" s="55">
        <v>70</v>
      </c>
      <c r="H17" s="150"/>
      <c r="I17" s="75">
        <f t="shared" si="2"/>
        <v>15</v>
      </c>
      <c r="J17" s="54">
        <v>19.86</v>
      </c>
      <c r="K17" s="55">
        <v>130</v>
      </c>
      <c r="L17" s="150"/>
      <c r="M17" s="75">
        <f t="shared" si="3"/>
        <v>15</v>
      </c>
      <c r="N17" s="54">
        <v>22.740000000000002</v>
      </c>
      <c r="O17" s="55">
        <v>63</v>
      </c>
      <c r="P17" s="150"/>
      <c r="Q17" s="75">
        <f t="shared" si="4"/>
        <v>15</v>
      </c>
      <c r="R17" s="54">
        <v>20.39</v>
      </c>
      <c r="S17" s="49">
        <v>159</v>
      </c>
      <c r="T17" s="150"/>
      <c r="U17" s="75">
        <f t="shared" si="5"/>
        <v>15</v>
      </c>
      <c r="V17" s="54">
        <v>102.45</v>
      </c>
      <c r="W17" s="55">
        <v>1440</v>
      </c>
      <c r="X17" s="150"/>
      <c r="Y17" s="75">
        <f t="shared" si="6"/>
        <v>15</v>
      </c>
      <c r="Z17" s="54">
        <v>28</v>
      </c>
      <c r="AA17" s="55">
        <v>420</v>
      </c>
      <c r="AB17" s="150">
        <v>3.125E-2</v>
      </c>
      <c r="AC17" s="75">
        <f t="shared" si="7"/>
        <v>15</v>
      </c>
      <c r="AD17" s="54">
        <v>109.08</v>
      </c>
      <c r="AE17" s="55">
        <v>1503</v>
      </c>
      <c r="AF17" s="150"/>
      <c r="AG17" s="75">
        <f t="shared" si="8"/>
        <v>15</v>
      </c>
      <c r="AH17" s="54">
        <v>17</v>
      </c>
      <c r="AI17" s="55">
        <v>78</v>
      </c>
      <c r="AJ17" s="150"/>
      <c r="AK17" s="75">
        <f t="shared" si="9"/>
        <v>15</v>
      </c>
      <c r="AL17" s="54">
        <v>10</v>
      </c>
      <c r="AM17" s="55">
        <v>30</v>
      </c>
      <c r="AN17" s="150">
        <v>4.5138888888888888E-2</v>
      </c>
      <c r="AO17" s="75">
        <f t="shared" si="10"/>
        <v>15</v>
      </c>
      <c r="AP17" s="54">
        <v>25</v>
      </c>
      <c r="AQ17" s="55">
        <v>25</v>
      </c>
      <c r="AR17" s="150"/>
      <c r="AS17" s="75">
        <f t="shared" si="11"/>
        <v>15</v>
      </c>
      <c r="AT17" s="54"/>
      <c r="AU17" s="55"/>
      <c r="AV17" s="150">
        <v>2.361111111111111E-2</v>
      </c>
      <c r="AW17" s="67"/>
    </row>
    <row r="18" spans="1:49" s="49" customFormat="1" ht="11.25" x14ac:dyDescent="0.2">
      <c r="A18" s="73">
        <f t="shared" si="0"/>
        <v>16</v>
      </c>
      <c r="B18" s="54">
        <v>19.649999999999999</v>
      </c>
      <c r="C18" s="55">
        <v>281</v>
      </c>
      <c r="D18" s="150"/>
      <c r="E18" s="75">
        <f t="shared" si="1"/>
        <v>16</v>
      </c>
      <c r="F18" s="54">
        <v>20.399999999999999</v>
      </c>
      <c r="G18" s="55">
        <v>70</v>
      </c>
      <c r="H18" s="150"/>
      <c r="I18" s="75">
        <f t="shared" si="2"/>
        <v>16</v>
      </c>
      <c r="J18" s="54">
        <v>29.05</v>
      </c>
      <c r="K18" s="55">
        <v>190</v>
      </c>
      <c r="L18" s="150"/>
      <c r="M18" s="75">
        <f t="shared" si="3"/>
        <v>16</v>
      </c>
      <c r="N18" s="54">
        <v>14</v>
      </c>
      <c r="O18" s="55">
        <v>20</v>
      </c>
      <c r="P18" s="150"/>
      <c r="Q18" s="75">
        <f t="shared" si="4"/>
        <v>16</v>
      </c>
      <c r="R18" s="54">
        <v>8.26</v>
      </c>
      <c r="S18" s="55">
        <v>70</v>
      </c>
      <c r="T18" s="150"/>
      <c r="U18" s="75">
        <f t="shared" si="5"/>
        <v>16</v>
      </c>
      <c r="V18" s="54">
        <v>10.3</v>
      </c>
      <c r="W18" s="55">
        <v>60</v>
      </c>
      <c r="X18" s="150"/>
      <c r="Y18" s="75">
        <f t="shared" si="6"/>
        <v>16</v>
      </c>
      <c r="Z18" s="54">
        <v>14.8</v>
      </c>
      <c r="AA18" s="55">
        <v>50</v>
      </c>
      <c r="AB18" s="150"/>
      <c r="AC18" s="75">
        <f t="shared" si="7"/>
        <v>16</v>
      </c>
      <c r="AD18" s="54">
        <v>16.57</v>
      </c>
      <c r="AE18" s="55">
        <v>55</v>
      </c>
      <c r="AF18" s="150"/>
      <c r="AG18" s="75">
        <f t="shared" si="8"/>
        <v>16</v>
      </c>
      <c r="AH18" s="54"/>
      <c r="AI18" s="55"/>
      <c r="AJ18" s="150"/>
      <c r="AK18" s="75">
        <f t="shared" si="9"/>
        <v>16</v>
      </c>
      <c r="AL18" s="54">
        <v>17</v>
      </c>
      <c r="AM18" s="55">
        <v>78</v>
      </c>
      <c r="AN18" s="150"/>
      <c r="AO18" s="75">
        <f t="shared" si="10"/>
        <v>16</v>
      </c>
      <c r="AP18" s="54"/>
      <c r="AQ18" s="55"/>
      <c r="AR18" s="150"/>
      <c r="AS18" s="75">
        <f t="shared" si="11"/>
        <v>16</v>
      </c>
      <c r="AT18" s="54">
        <v>14.8</v>
      </c>
      <c r="AU18" s="55">
        <v>330</v>
      </c>
      <c r="AV18" s="150"/>
      <c r="AW18" s="67"/>
    </row>
    <row r="19" spans="1:49" s="49" customFormat="1" ht="11.25" x14ac:dyDescent="0.2">
      <c r="A19" s="73">
        <f t="shared" si="0"/>
        <v>17</v>
      </c>
      <c r="B19" s="54">
        <v>17.5</v>
      </c>
      <c r="C19" s="55">
        <v>69</v>
      </c>
      <c r="D19" s="150"/>
      <c r="E19" s="75">
        <f t="shared" si="1"/>
        <v>17</v>
      </c>
      <c r="F19" s="54">
        <v>12.4</v>
      </c>
      <c r="G19" s="55">
        <v>120</v>
      </c>
      <c r="H19" s="150"/>
      <c r="I19" s="75">
        <f t="shared" si="2"/>
        <v>17</v>
      </c>
      <c r="J19" s="54">
        <v>64.89</v>
      </c>
      <c r="K19" s="55">
        <v>1035</v>
      </c>
      <c r="L19" s="150"/>
      <c r="M19" s="75">
        <f t="shared" si="3"/>
        <v>17</v>
      </c>
      <c r="N19" s="54"/>
      <c r="O19" s="55"/>
      <c r="P19" s="150">
        <v>4.1666666666666664E-2</v>
      </c>
      <c r="Q19" s="75">
        <f t="shared" si="4"/>
        <v>17</v>
      </c>
      <c r="R19" s="54">
        <v>48.35</v>
      </c>
      <c r="S19" s="55">
        <v>549</v>
      </c>
      <c r="T19" s="150">
        <v>5.2083333333333336E-2</v>
      </c>
      <c r="U19" s="75">
        <f t="shared" si="5"/>
        <v>17</v>
      </c>
      <c r="V19" s="54">
        <v>80.739999999999995</v>
      </c>
      <c r="W19" s="55">
        <v>1300</v>
      </c>
      <c r="X19" s="150"/>
      <c r="Y19" s="75">
        <f t="shared" si="6"/>
        <v>17</v>
      </c>
      <c r="Z19" s="54">
        <v>9.4</v>
      </c>
      <c r="AA19" s="55">
        <v>240</v>
      </c>
      <c r="AB19" s="150"/>
      <c r="AC19" s="75">
        <f t="shared" si="7"/>
        <v>17</v>
      </c>
      <c r="AD19" s="54">
        <v>11.61</v>
      </c>
      <c r="AE19" s="55">
        <v>101</v>
      </c>
      <c r="AF19" s="150"/>
      <c r="AG19" s="75">
        <f t="shared" si="8"/>
        <v>17</v>
      </c>
      <c r="AH19" s="54"/>
      <c r="AI19" s="55"/>
      <c r="AJ19" s="150"/>
      <c r="AK19" s="75">
        <f t="shared" si="9"/>
        <v>17</v>
      </c>
      <c r="AL19" s="54">
        <v>14.8</v>
      </c>
      <c r="AM19" s="55">
        <v>330</v>
      </c>
      <c r="AN19" s="150"/>
      <c r="AO19" s="75">
        <f t="shared" si="10"/>
        <v>17</v>
      </c>
      <c r="AP19" s="54">
        <v>33</v>
      </c>
      <c r="AQ19" s="55">
        <v>130</v>
      </c>
      <c r="AR19" s="150"/>
      <c r="AS19" s="75">
        <f t="shared" si="11"/>
        <v>17</v>
      </c>
      <c r="AT19" s="54"/>
      <c r="AU19" s="55"/>
      <c r="AV19" s="150"/>
      <c r="AW19" s="67"/>
    </row>
    <row r="20" spans="1:49" s="49" customFormat="1" ht="11.25" x14ac:dyDescent="0.2">
      <c r="A20" s="73">
        <f t="shared" si="0"/>
        <v>18</v>
      </c>
      <c r="B20" s="54">
        <v>10.56</v>
      </c>
      <c r="C20" s="55">
        <v>62</v>
      </c>
      <c r="D20" s="150"/>
      <c r="E20" s="75">
        <f t="shared" si="1"/>
        <v>18</v>
      </c>
      <c r="F20" s="54">
        <v>33.959999999999994</v>
      </c>
      <c r="G20" s="55">
        <v>260</v>
      </c>
      <c r="H20" s="150"/>
      <c r="I20" s="75">
        <f t="shared" si="2"/>
        <v>18</v>
      </c>
      <c r="J20" s="54">
        <v>20.6</v>
      </c>
      <c r="K20" s="55">
        <v>509</v>
      </c>
      <c r="L20" s="150"/>
      <c r="M20" s="75">
        <f t="shared" si="3"/>
        <v>18</v>
      </c>
      <c r="N20" s="54">
        <v>8.26</v>
      </c>
      <c r="O20" s="55">
        <v>70</v>
      </c>
      <c r="P20" s="150"/>
      <c r="Q20" s="75">
        <f t="shared" si="4"/>
        <v>18</v>
      </c>
      <c r="R20" s="54">
        <v>11.2</v>
      </c>
      <c r="S20" s="55">
        <v>125</v>
      </c>
      <c r="T20" s="150"/>
      <c r="U20" s="75">
        <f t="shared" si="5"/>
        <v>18</v>
      </c>
      <c r="V20" s="54">
        <v>22.26</v>
      </c>
      <c r="W20" s="55">
        <v>242</v>
      </c>
      <c r="X20" s="150"/>
      <c r="Y20" s="75">
        <f t="shared" si="6"/>
        <v>18</v>
      </c>
      <c r="Z20" s="54">
        <v>10.5</v>
      </c>
      <c r="AA20" s="55">
        <v>240</v>
      </c>
      <c r="AB20" s="150"/>
      <c r="AC20" s="75">
        <f t="shared" si="7"/>
        <v>18</v>
      </c>
      <c r="AD20" s="54">
        <v>40.700000000000003</v>
      </c>
      <c r="AE20" s="55">
        <v>890</v>
      </c>
      <c r="AF20" s="150"/>
      <c r="AG20" s="75">
        <f t="shared" si="8"/>
        <v>18</v>
      </c>
      <c r="AH20" s="54"/>
      <c r="AI20" s="55"/>
      <c r="AJ20" s="150"/>
      <c r="AK20" s="75">
        <f t="shared" si="9"/>
        <v>18</v>
      </c>
      <c r="AL20" s="54">
        <v>16.7</v>
      </c>
      <c r="AM20" s="55">
        <v>394</v>
      </c>
      <c r="AN20" s="150"/>
      <c r="AO20" s="75">
        <f t="shared" si="10"/>
        <v>18</v>
      </c>
      <c r="AP20" s="54">
        <v>29.5</v>
      </c>
      <c r="AQ20" s="55">
        <v>541</v>
      </c>
      <c r="AR20" s="150"/>
      <c r="AS20" s="75">
        <f t="shared" si="11"/>
        <v>18</v>
      </c>
      <c r="AT20" s="54">
        <v>10.1</v>
      </c>
      <c r="AU20" s="55">
        <v>306</v>
      </c>
      <c r="AV20" s="150"/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50"/>
      <c r="E21" s="75">
        <f t="shared" si="1"/>
        <v>19</v>
      </c>
      <c r="F21" s="54">
        <v>23.17</v>
      </c>
      <c r="G21" s="55">
        <v>400</v>
      </c>
      <c r="H21" s="150">
        <v>8.3333333333333329E-2</v>
      </c>
      <c r="I21" s="75">
        <f t="shared" si="2"/>
        <v>19</v>
      </c>
      <c r="J21" s="54">
        <v>20.259999999999998</v>
      </c>
      <c r="K21" s="55">
        <v>130</v>
      </c>
      <c r="L21" s="150"/>
      <c r="M21" s="75">
        <f t="shared" si="3"/>
        <v>19</v>
      </c>
      <c r="N21" s="54">
        <v>13.96</v>
      </c>
      <c r="O21" s="55">
        <v>140</v>
      </c>
      <c r="P21" s="150"/>
      <c r="Q21" s="75">
        <f t="shared" si="4"/>
        <v>19</v>
      </c>
      <c r="R21" s="54">
        <v>72.760000000000005</v>
      </c>
      <c r="S21" s="55">
        <v>1215</v>
      </c>
      <c r="T21" s="150"/>
      <c r="U21" s="75">
        <f t="shared" si="5"/>
        <v>19</v>
      </c>
      <c r="V21" s="54">
        <v>24.92</v>
      </c>
      <c r="W21" s="55">
        <v>279</v>
      </c>
      <c r="X21" s="150"/>
      <c r="Y21" s="75">
        <f t="shared" si="6"/>
        <v>19</v>
      </c>
      <c r="Z21" s="54">
        <v>10.5</v>
      </c>
      <c r="AA21" s="55">
        <v>240</v>
      </c>
      <c r="AB21" s="150"/>
      <c r="AC21" s="75">
        <f t="shared" si="7"/>
        <v>19</v>
      </c>
      <c r="AD21" s="54">
        <v>85.07</v>
      </c>
      <c r="AE21" s="55">
        <v>1105</v>
      </c>
      <c r="AF21" s="150"/>
      <c r="AG21" s="75">
        <f t="shared" si="8"/>
        <v>19</v>
      </c>
      <c r="AH21" s="54"/>
      <c r="AI21" s="55"/>
      <c r="AJ21" s="150"/>
      <c r="AK21" s="75">
        <f t="shared" si="9"/>
        <v>19</v>
      </c>
      <c r="AL21" s="54">
        <v>19.600000000000001</v>
      </c>
      <c r="AM21" s="55">
        <v>440</v>
      </c>
      <c r="AN21" s="150"/>
      <c r="AO21" s="75">
        <f t="shared" si="10"/>
        <v>19</v>
      </c>
      <c r="AP21" s="54">
        <v>14.7</v>
      </c>
      <c r="AQ21" s="55">
        <v>45</v>
      </c>
      <c r="AR21" s="150"/>
      <c r="AS21" s="75">
        <f t="shared" si="11"/>
        <v>19</v>
      </c>
      <c r="AT21" s="54">
        <v>12.48</v>
      </c>
      <c r="AU21" s="55">
        <v>346</v>
      </c>
      <c r="AV21" s="150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50"/>
      <c r="E22" s="75">
        <f t="shared" si="1"/>
        <v>20</v>
      </c>
      <c r="F22" s="54">
        <v>10.8</v>
      </c>
      <c r="G22" s="55">
        <v>65</v>
      </c>
      <c r="H22" s="150"/>
      <c r="I22" s="75">
        <f t="shared" si="2"/>
        <v>20</v>
      </c>
      <c r="J22" s="54">
        <v>13.57</v>
      </c>
      <c r="K22" s="55">
        <v>85</v>
      </c>
      <c r="L22" s="150"/>
      <c r="M22" s="75">
        <f t="shared" si="3"/>
        <v>20</v>
      </c>
      <c r="N22" s="54">
        <v>16.560000000000002</v>
      </c>
      <c r="O22" s="55">
        <v>189</v>
      </c>
      <c r="P22" s="150"/>
      <c r="Q22" s="75">
        <f t="shared" si="4"/>
        <v>20</v>
      </c>
      <c r="R22" s="54">
        <v>104.83999999999999</v>
      </c>
      <c r="S22" s="55">
        <v>1539</v>
      </c>
      <c r="T22" s="150"/>
      <c r="U22" s="75">
        <f t="shared" si="5"/>
        <v>20</v>
      </c>
      <c r="V22" s="54">
        <v>37.46</v>
      </c>
      <c r="W22" s="55">
        <v>245</v>
      </c>
      <c r="X22" s="150"/>
      <c r="Y22" s="75">
        <f t="shared" si="6"/>
        <v>20</v>
      </c>
      <c r="Z22" s="54">
        <v>14.8</v>
      </c>
      <c r="AA22" s="55">
        <v>50</v>
      </c>
      <c r="AB22" s="150"/>
      <c r="AC22" s="75">
        <f t="shared" si="7"/>
        <v>20</v>
      </c>
      <c r="AD22" s="54">
        <v>16.8</v>
      </c>
      <c r="AE22" s="55">
        <v>50</v>
      </c>
      <c r="AF22" s="150"/>
      <c r="AG22" s="75">
        <f t="shared" si="8"/>
        <v>20</v>
      </c>
      <c r="AH22" s="54"/>
      <c r="AI22" s="55"/>
      <c r="AJ22" s="150"/>
      <c r="AK22" s="75">
        <f t="shared" si="9"/>
        <v>20</v>
      </c>
      <c r="AL22" s="54">
        <v>34.26</v>
      </c>
      <c r="AM22" s="55">
        <v>478</v>
      </c>
      <c r="AN22" s="150"/>
      <c r="AO22" s="75">
        <f t="shared" si="10"/>
        <v>20</v>
      </c>
      <c r="AP22" s="54">
        <v>15.8</v>
      </c>
      <c r="AQ22" s="55">
        <v>250</v>
      </c>
      <c r="AR22" s="150"/>
      <c r="AS22" s="75">
        <f t="shared" si="11"/>
        <v>20</v>
      </c>
      <c r="AT22" s="54">
        <v>10.1</v>
      </c>
      <c r="AU22" s="55">
        <v>306</v>
      </c>
      <c r="AV22" s="150"/>
      <c r="AW22" s="67"/>
    </row>
    <row r="23" spans="1:49" s="49" customFormat="1" ht="11.25" x14ac:dyDescent="0.2">
      <c r="A23" s="73">
        <f t="shared" si="0"/>
        <v>21</v>
      </c>
      <c r="B23" s="54">
        <v>8.26</v>
      </c>
      <c r="C23" s="55">
        <v>70</v>
      </c>
      <c r="D23" s="150"/>
      <c r="E23" s="75">
        <f t="shared" si="1"/>
        <v>21</v>
      </c>
      <c r="F23" s="54">
        <v>13.96</v>
      </c>
      <c r="G23" s="55">
        <v>140</v>
      </c>
      <c r="H23" s="150"/>
      <c r="I23" s="75">
        <f t="shared" si="2"/>
        <v>21</v>
      </c>
      <c r="J23" s="54"/>
      <c r="K23" s="55"/>
      <c r="L23" s="150"/>
      <c r="M23" s="75">
        <f t="shared" si="3"/>
        <v>21</v>
      </c>
      <c r="N23" s="54">
        <v>38.450000000000003</v>
      </c>
      <c r="O23" s="55">
        <v>379</v>
      </c>
      <c r="P23" s="150"/>
      <c r="Q23" s="75">
        <f t="shared" si="4"/>
        <v>21</v>
      </c>
      <c r="R23" s="54">
        <v>11.2</v>
      </c>
      <c r="S23" s="55">
        <v>125</v>
      </c>
      <c r="T23" s="150"/>
      <c r="U23" s="75">
        <f t="shared" si="5"/>
        <v>21</v>
      </c>
      <c r="V23" s="54">
        <v>31</v>
      </c>
      <c r="W23" s="55">
        <v>600</v>
      </c>
      <c r="X23" s="150"/>
      <c r="Y23" s="75">
        <f t="shared" si="6"/>
        <v>21</v>
      </c>
      <c r="Z23" s="54">
        <v>48.84</v>
      </c>
      <c r="AA23" s="55">
        <v>808</v>
      </c>
      <c r="AB23" s="150"/>
      <c r="AC23" s="75">
        <f t="shared" si="7"/>
        <v>21</v>
      </c>
      <c r="AD23" s="54">
        <v>24.66</v>
      </c>
      <c r="AE23" s="55">
        <v>25</v>
      </c>
      <c r="AF23" s="150"/>
      <c r="AG23" s="75">
        <f t="shared" si="8"/>
        <v>21</v>
      </c>
      <c r="AH23" s="54"/>
      <c r="AI23" s="55"/>
      <c r="AJ23" s="150"/>
      <c r="AK23" s="75">
        <f t="shared" si="9"/>
        <v>21</v>
      </c>
      <c r="AL23" s="54">
        <v>60.16</v>
      </c>
      <c r="AM23" s="55">
        <v>910</v>
      </c>
      <c r="AN23" s="150"/>
      <c r="AO23" s="75">
        <f t="shared" si="10"/>
        <v>21</v>
      </c>
      <c r="AP23" s="54">
        <v>20.18</v>
      </c>
      <c r="AQ23" s="55">
        <v>434</v>
      </c>
      <c r="AR23" s="150"/>
      <c r="AS23" s="75">
        <f t="shared" si="11"/>
        <v>21</v>
      </c>
      <c r="AT23" s="54"/>
      <c r="AU23" s="55"/>
      <c r="AV23" s="150"/>
      <c r="AW23" s="67"/>
    </row>
    <row r="24" spans="1:49" s="49" customFormat="1" ht="11.25" x14ac:dyDescent="0.2">
      <c r="A24" s="73">
        <f t="shared" si="0"/>
        <v>22</v>
      </c>
      <c r="B24" s="54">
        <v>29.52</v>
      </c>
      <c r="C24" s="55">
        <v>501</v>
      </c>
      <c r="D24" s="150"/>
      <c r="E24" s="75">
        <f t="shared" si="1"/>
        <v>22</v>
      </c>
      <c r="F24" s="54">
        <v>15.96</v>
      </c>
      <c r="G24" s="55">
        <v>145</v>
      </c>
      <c r="H24" s="150"/>
      <c r="I24" s="75">
        <f t="shared" si="2"/>
        <v>22</v>
      </c>
      <c r="J24" s="54">
        <v>15.8</v>
      </c>
      <c r="K24" s="55">
        <v>250</v>
      </c>
      <c r="L24" s="150"/>
      <c r="M24" s="75">
        <f t="shared" si="3"/>
        <v>22</v>
      </c>
      <c r="N24" s="54">
        <v>19.79</v>
      </c>
      <c r="O24" s="55">
        <v>361</v>
      </c>
      <c r="P24" s="150"/>
      <c r="Q24" s="75">
        <f t="shared" si="4"/>
        <v>22</v>
      </c>
      <c r="R24" s="54">
        <v>11.2</v>
      </c>
      <c r="S24" s="49">
        <v>125</v>
      </c>
      <c r="T24" s="150"/>
      <c r="U24" s="75">
        <f t="shared" si="5"/>
        <v>22</v>
      </c>
      <c r="V24" s="54">
        <v>39.650000000000006</v>
      </c>
      <c r="W24" s="55">
        <v>535</v>
      </c>
      <c r="X24" s="150"/>
      <c r="Y24" s="75">
        <f t="shared" si="6"/>
        <v>22</v>
      </c>
      <c r="Z24" s="54">
        <v>47.250000000000007</v>
      </c>
      <c r="AA24" s="55">
        <v>1305</v>
      </c>
      <c r="AB24" s="150"/>
      <c r="AC24" s="75">
        <f t="shared" si="7"/>
        <v>22</v>
      </c>
      <c r="AD24" s="54">
        <v>8</v>
      </c>
      <c r="AE24" s="55">
        <v>110</v>
      </c>
      <c r="AF24" s="150"/>
      <c r="AG24" s="75">
        <f t="shared" si="8"/>
        <v>22</v>
      </c>
      <c r="AH24" s="54"/>
      <c r="AI24" s="55"/>
      <c r="AJ24" s="150"/>
      <c r="AK24" s="75">
        <f t="shared" si="9"/>
        <v>22</v>
      </c>
      <c r="AL24" s="54">
        <v>27.06</v>
      </c>
      <c r="AM24" s="55">
        <v>160</v>
      </c>
      <c r="AN24" s="150"/>
      <c r="AO24" s="75">
        <f t="shared" si="10"/>
        <v>22</v>
      </c>
      <c r="AP24" s="54">
        <v>10.8</v>
      </c>
      <c r="AQ24" s="55">
        <v>5</v>
      </c>
      <c r="AR24" s="150"/>
      <c r="AS24" s="75">
        <f t="shared" si="11"/>
        <v>22</v>
      </c>
      <c r="AT24" s="54">
        <v>19</v>
      </c>
      <c r="AU24" s="55">
        <v>380</v>
      </c>
      <c r="AV24" s="150"/>
      <c r="AW24" s="67"/>
    </row>
    <row r="25" spans="1:49" s="49" customFormat="1" ht="11.25" x14ac:dyDescent="0.2">
      <c r="A25" s="73">
        <f t="shared" si="0"/>
        <v>23</v>
      </c>
      <c r="B25" s="54">
        <v>14</v>
      </c>
      <c r="C25" s="55">
        <v>20</v>
      </c>
      <c r="D25" s="150"/>
      <c r="E25" s="75">
        <f t="shared" si="1"/>
        <v>23</v>
      </c>
      <c r="F25" s="54">
        <v>27.4</v>
      </c>
      <c r="G25" s="55">
        <v>220</v>
      </c>
      <c r="H25" s="150"/>
      <c r="I25" s="75">
        <f t="shared" si="2"/>
        <v>23</v>
      </c>
      <c r="J25" s="54">
        <v>15.8</v>
      </c>
      <c r="K25" s="55">
        <v>250</v>
      </c>
      <c r="L25" s="150"/>
      <c r="M25" s="75">
        <f t="shared" si="3"/>
        <v>23</v>
      </c>
      <c r="N25" s="54">
        <v>18.399999999999999</v>
      </c>
      <c r="O25" s="55">
        <v>105</v>
      </c>
      <c r="P25" s="150"/>
      <c r="Q25" s="75">
        <f t="shared" si="4"/>
        <v>23</v>
      </c>
      <c r="R25" s="54">
        <v>11.2</v>
      </c>
      <c r="S25" s="55">
        <v>125</v>
      </c>
      <c r="T25" s="150"/>
      <c r="U25" s="75">
        <f t="shared" si="5"/>
        <v>23</v>
      </c>
      <c r="V25" s="54">
        <v>42.3</v>
      </c>
      <c r="W25" s="55">
        <v>558</v>
      </c>
      <c r="X25" s="150"/>
      <c r="Y25" s="75">
        <f t="shared" si="6"/>
        <v>23</v>
      </c>
      <c r="Z25" s="54">
        <v>20</v>
      </c>
      <c r="AA25" s="55">
        <v>120</v>
      </c>
      <c r="AB25" s="150"/>
      <c r="AC25" s="75">
        <f t="shared" si="7"/>
        <v>23</v>
      </c>
      <c r="AD25" s="54">
        <v>8</v>
      </c>
      <c r="AE25" s="55">
        <v>110</v>
      </c>
      <c r="AF25" s="150"/>
      <c r="AG25" s="75">
        <f t="shared" si="8"/>
        <v>23</v>
      </c>
      <c r="AH25" s="54"/>
      <c r="AI25" s="55"/>
      <c r="AJ25" s="150"/>
      <c r="AK25" s="75">
        <f t="shared" si="9"/>
        <v>23</v>
      </c>
      <c r="AL25" s="54">
        <v>12.75</v>
      </c>
      <c r="AM25" s="55">
        <v>245</v>
      </c>
      <c r="AN25" s="150"/>
      <c r="AO25" s="75">
        <f t="shared" si="10"/>
        <v>23</v>
      </c>
      <c r="AP25" s="54">
        <v>16.93</v>
      </c>
      <c r="AQ25" s="55">
        <v>340</v>
      </c>
      <c r="AR25" s="150"/>
      <c r="AS25" s="75">
        <f t="shared" si="11"/>
        <v>23</v>
      </c>
      <c r="AT25" s="54">
        <v>25.509999999999998</v>
      </c>
      <c r="AU25" s="55">
        <v>160</v>
      </c>
      <c r="AV25" s="150"/>
      <c r="AW25" s="67"/>
    </row>
    <row r="26" spans="1:49" s="49" customFormat="1" ht="11.25" x14ac:dyDescent="0.2">
      <c r="A26" s="73">
        <f t="shared" si="0"/>
        <v>24</v>
      </c>
      <c r="B26" s="54">
        <v>12.5</v>
      </c>
      <c r="C26" s="55">
        <v>130</v>
      </c>
      <c r="D26" s="150"/>
      <c r="E26" s="75">
        <f t="shared" si="1"/>
        <v>24</v>
      </c>
      <c r="F26" s="54">
        <v>19.399999999999999</v>
      </c>
      <c r="G26" s="55">
        <v>200</v>
      </c>
      <c r="H26" s="150"/>
      <c r="I26" s="75">
        <f t="shared" si="2"/>
        <v>24</v>
      </c>
      <c r="J26" s="54">
        <v>103.14</v>
      </c>
      <c r="K26" s="55">
        <v>1595</v>
      </c>
      <c r="L26" s="150"/>
      <c r="M26" s="75">
        <f t="shared" si="3"/>
        <v>24</v>
      </c>
      <c r="N26" s="54">
        <v>13.96</v>
      </c>
      <c r="O26" s="55">
        <v>140</v>
      </c>
      <c r="P26" s="150"/>
      <c r="Q26" s="75">
        <f t="shared" si="4"/>
        <v>24</v>
      </c>
      <c r="R26" s="54">
        <v>11.2</v>
      </c>
      <c r="S26" s="55">
        <v>125</v>
      </c>
      <c r="T26" s="150"/>
      <c r="U26" s="75">
        <f t="shared" si="5"/>
        <v>24</v>
      </c>
      <c r="V26" s="54">
        <v>14.059999999999999</v>
      </c>
      <c r="W26" s="55">
        <v>100</v>
      </c>
      <c r="X26" s="150"/>
      <c r="Y26" s="75">
        <f t="shared" si="6"/>
        <v>24</v>
      </c>
      <c r="Z26" s="54">
        <v>16.3</v>
      </c>
      <c r="AA26" s="55">
        <v>360</v>
      </c>
      <c r="AB26" s="150"/>
      <c r="AC26" s="75">
        <f t="shared" si="7"/>
        <v>24</v>
      </c>
      <c r="AD26" s="54">
        <v>8</v>
      </c>
      <c r="AE26" s="55">
        <v>110</v>
      </c>
      <c r="AF26" s="150"/>
      <c r="AG26" s="75">
        <f t="shared" si="8"/>
        <v>24</v>
      </c>
      <c r="AH26" s="54">
        <v>15.66</v>
      </c>
      <c r="AI26" s="55">
        <v>83</v>
      </c>
      <c r="AJ26" s="150"/>
      <c r="AK26" s="75">
        <f t="shared" si="9"/>
        <v>24</v>
      </c>
      <c r="AL26" s="54">
        <v>21.5</v>
      </c>
      <c r="AM26" s="55">
        <v>70</v>
      </c>
      <c r="AN26" s="150"/>
      <c r="AO26" s="75">
        <f t="shared" si="10"/>
        <v>24</v>
      </c>
      <c r="AP26" s="54">
        <v>42.86</v>
      </c>
      <c r="AQ26" s="55">
        <v>676</v>
      </c>
      <c r="AR26" s="150"/>
      <c r="AS26" s="75">
        <f t="shared" si="11"/>
        <v>24</v>
      </c>
      <c r="AT26" s="54">
        <v>53.66</v>
      </c>
      <c r="AU26" s="55">
        <v>568</v>
      </c>
      <c r="AV26" s="150"/>
      <c r="AW26" s="67"/>
    </row>
    <row r="27" spans="1:49" s="49" customFormat="1" ht="11.25" x14ac:dyDescent="0.2">
      <c r="A27" s="73">
        <f t="shared" si="0"/>
        <v>25</v>
      </c>
      <c r="B27" s="54">
        <v>10.6</v>
      </c>
      <c r="C27" s="55">
        <v>40</v>
      </c>
      <c r="D27" s="150"/>
      <c r="E27" s="75">
        <f t="shared" si="1"/>
        <v>25</v>
      </c>
      <c r="F27" s="54">
        <v>42.79</v>
      </c>
      <c r="G27" s="55">
        <v>683</v>
      </c>
      <c r="H27" s="150"/>
      <c r="I27" s="75">
        <f t="shared" si="2"/>
        <v>25</v>
      </c>
      <c r="J27" s="54">
        <v>15.8</v>
      </c>
      <c r="K27" s="55">
        <v>250</v>
      </c>
      <c r="L27" s="150"/>
      <c r="M27" s="75">
        <f t="shared" si="3"/>
        <v>25</v>
      </c>
      <c r="N27" s="54">
        <v>11.4</v>
      </c>
      <c r="O27" s="55">
        <v>40</v>
      </c>
      <c r="P27" s="150"/>
      <c r="Q27" s="75">
        <f t="shared" si="4"/>
        <v>25</v>
      </c>
      <c r="R27" s="54">
        <v>18.2</v>
      </c>
      <c r="S27" s="55">
        <v>355</v>
      </c>
      <c r="T27" s="150"/>
      <c r="U27" s="75">
        <f t="shared" si="5"/>
        <v>25</v>
      </c>
      <c r="V27" s="54">
        <v>49.32</v>
      </c>
      <c r="W27" s="55">
        <v>50</v>
      </c>
      <c r="X27" s="150"/>
      <c r="Y27" s="75">
        <f t="shared" si="6"/>
        <v>25</v>
      </c>
      <c r="Z27" s="54">
        <v>23.15</v>
      </c>
      <c r="AA27" s="55">
        <v>135</v>
      </c>
      <c r="AB27" s="150"/>
      <c r="AC27" s="75">
        <f t="shared" si="7"/>
        <v>25</v>
      </c>
      <c r="AD27" s="54">
        <v>40.6</v>
      </c>
      <c r="AE27" s="55">
        <v>880</v>
      </c>
      <c r="AF27" s="150"/>
      <c r="AG27" s="75">
        <f t="shared" si="8"/>
        <v>25</v>
      </c>
      <c r="AH27" s="54">
        <v>15.5</v>
      </c>
      <c r="AI27" s="55">
        <v>100</v>
      </c>
      <c r="AJ27" s="150"/>
      <c r="AK27" s="75">
        <f t="shared" si="9"/>
        <v>25</v>
      </c>
      <c r="AL27" s="54">
        <v>10.1</v>
      </c>
      <c r="AM27" s="55">
        <v>306</v>
      </c>
      <c r="AN27" s="150"/>
      <c r="AO27" s="75">
        <f t="shared" si="10"/>
        <v>25</v>
      </c>
      <c r="AP27" s="54">
        <v>22.6</v>
      </c>
      <c r="AQ27" s="55">
        <v>123</v>
      </c>
      <c r="AR27" s="150"/>
      <c r="AS27" s="75">
        <f t="shared" si="11"/>
        <v>25</v>
      </c>
      <c r="AT27" s="54">
        <v>24.9</v>
      </c>
      <c r="AU27" s="55">
        <v>140</v>
      </c>
      <c r="AV27" s="150"/>
      <c r="AW27" s="67"/>
    </row>
    <row r="28" spans="1:49" s="49" customFormat="1" ht="11.25" x14ac:dyDescent="0.2">
      <c r="A28" s="73">
        <f t="shared" si="0"/>
        <v>26</v>
      </c>
      <c r="B28" s="54">
        <v>13.81</v>
      </c>
      <c r="C28" s="55">
        <v>210</v>
      </c>
      <c r="D28" s="150"/>
      <c r="E28" s="75">
        <f t="shared" si="1"/>
        <v>26</v>
      </c>
      <c r="F28" s="54">
        <v>51.4</v>
      </c>
      <c r="G28" s="55">
        <v>498</v>
      </c>
      <c r="H28" s="150"/>
      <c r="I28" s="75">
        <f t="shared" si="2"/>
        <v>26</v>
      </c>
      <c r="J28" s="54">
        <v>19.87</v>
      </c>
      <c r="K28" s="55">
        <v>434</v>
      </c>
      <c r="L28" s="150"/>
      <c r="M28" s="75">
        <f t="shared" si="3"/>
        <v>26</v>
      </c>
      <c r="N28" s="54">
        <v>17.740000000000002</v>
      </c>
      <c r="O28" s="55">
        <v>93</v>
      </c>
      <c r="P28" s="150"/>
      <c r="Q28" s="75">
        <f t="shared" si="4"/>
        <v>26</v>
      </c>
      <c r="R28" s="54">
        <v>55.809999999999995</v>
      </c>
      <c r="S28" s="55">
        <v>1399</v>
      </c>
      <c r="T28" s="150"/>
      <c r="U28" s="75">
        <f t="shared" si="5"/>
        <v>26</v>
      </c>
      <c r="V28" s="54">
        <v>38.799999999999997</v>
      </c>
      <c r="W28" s="55">
        <v>510</v>
      </c>
      <c r="X28" s="150"/>
      <c r="Y28" s="75">
        <f t="shared" si="6"/>
        <v>26</v>
      </c>
      <c r="Z28" s="54">
        <v>25.085000000000001</v>
      </c>
      <c r="AA28" s="55">
        <v>26</v>
      </c>
      <c r="AB28" s="150"/>
      <c r="AC28" s="75">
        <f t="shared" si="7"/>
        <v>26</v>
      </c>
      <c r="AD28" s="54">
        <v>41.2</v>
      </c>
      <c r="AE28" s="55">
        <v>836</v>
      </c>
      <c r="AF28" s="150"/>
      <c r="AG28" s="75">
        <f t="shared" si="8"/>
        <v>26</v>
      </c>
      <c r="AH28" s="54">
        <v>17</v>
      </c>
      <c r="AI28" s="55">
        <v>78</v>
      </c>
      <c r="AJ28" s="150"/>
      <c r="AK28" s="75">
        <f t="shared" si="9"/>
        <v>26</v>
      </c>
      <c r="AL28" s="54"/>
      <c r="AM28" s="55"/>
      <c r="AN28" s="150">
        <v>1.5972222222222224E-2</v>
      </c>
      <c r="AO28" s="75">
        <f t="shared" si="10"/>
        <v>26</v>
      </c>
      <c r="AP28" s="54">
        <v>10</v>
      </c>
      <c r="AQ28" s="55">
        <v>63</v>
      </c>
      <c r="AR28" s="150"/>
      <c r="AS28" s="75">
        <f t="shared" si="11"/>
        <v>26</v>
      </c>
      <c r="AT28" s="54">
        <v>14.8</v>
      </c>
      <c r="AU28" s="55">
        <v>330</v>
      </c>
      <c r="AV28" s="150"/>
      <c r="AW28" s="67"/>
    </row>
    <row r="29" spans="1:49" s="49" customFormat="1" ht="11.25" x14ac:dyDescent="0.2">
      <c r="A29" s="73">
        <f t="shared" si="0"/>
        <v>27</v>
      </c>
      <c r="B29" s="54">
        <v>27.03</v>
      </c>
      <c r="C29" s="55">
        <v>338</v>
      </c>
      <c r="D29" s="150"/>
      <c r="E29" s="75">
        <f t="shared" si="1"/>
        <v>27</v>
      </c>
      <c r="F29" s="54">
        <v>13.96</v>
      </c>
      <c r="G29" s="55">
        <v>140</v>
      </c>
      <c r="H29" s="150"/>
      <c r="I29" s="75">
        <f t="shared" si="2"/>
        <v>27</v>
      </c>
      <c r="J29" s="54">
        <v>13.64</v>
      </c>
      <c r="K29" s="55">
        <v>10</v>
      </c>
      <c r="L29" s="150"/>
      <c r="M29" s="75">
        <f t="shared" si="3"/>
        <v>27</v>
      </c>
      <c r="N29" s="54">
        <v>17.600000000000001</v>
      </c>
      <c r="O29" s="55">
        <v>370</v>
      </c>
      <c r="P29" s="150"/>
      <c r="Q29" s="75">
        <f t="shared" si="4"/>
        <v>27</v>
      </c>
      <c r="R29" s="54">
        <v>56.95</v>
      </c>
      <c r="S29" s="55">
        <v>329</v>
      </c>
      <c r="T29" s="150"/>
      <c r="U29" s="75">
        <f t="shared" si="5"/>
        <v>27</v>
      </c>
      <c r="V29" s="54">
        <v>33.5</v>
      </c>
      <c r="W29" s="55">
        <v>153</v>
      </c>
      <c r="X29" s="150"/>
      <c r="Y29" s="75">
        <f t="shared" si="6"/>
        <v>27</v>
      </c>
      <c r="Z29" s="54">
        <v>29.25</v>
      </c>
      <c r="AA29" s="55">
        <v>190</v>
      </c>
      <c r="AB29" s="150"/>
      <c r="AC29" s="75">
        <f t="shared" si="7"/>
        <v>27</v>
      </c>
      <c r="AD29" s="54">
        <v>16.3</v>
      </c>
      <c r="AE29" s="55">
        <v>385</v>
      </c>
      <c r="AF29" s="150"/>
      <c r="AG29" s="75">
        <f t="shared" si="8"/>
        <v>27</v>
      </c>
      <c r="AH29" s="54">
        <v>16.45</v>
      </c>
      <c r="AI29" s="55">
        <v>168</v>
      </c>
      <c r="AJ29" s="150"/>
      <c r="AK29" s="75">
        <f t="shared" si="9"/>
        <v>27</v>
      </c>
      <c r="AL29" s="54"/>
      <c r="AM29" s="55"/>
      <c r="AN29" s="150"/>
      <c r="AO29" s="75">
        <f t="shared" si="10"/>
        <v>27</v>
      </c>
      <c r="AP29" s="54"/>
      <c r="AQ29" s="55"/>
      <c r="AR29" s="150"/>
      <c r="AS29" s="75">
        <f t="shared" si="11"/>
        <v>27</v>
      </c>
      <c r="AT29" s="54"/>
      <c r="AU29" s="55"/>
      <c r="AV29" s="150"/>
      <c r="AW29" s="67"/>
    </row>
    <row r="30" spans="1:49" s="49" customFormat="1" ht="11.25" x14ac:dyDescent="0.2">
      <c r="A30" s="73">
        <f t="shared" si="0"/>
        <v>28</v>
      </c>
      <c r="B30" s="54">
        <v>27.060000000000002</v>
      </c>
      <c r="C30" s="55">
        <v>159</v>
      </c>
      <c r="D30" s="150"/>
      <c r="E30" s="75">
        <f t="shared" si="1"/>
        <v>28</v>
      </c>
      <c r="F30" s="54">
        <v>10.3</v>
      </c>
      <c r="G30" s="55">
        <v>60</v>
      </c>
      <c r="H30" s="150"/>
      <c r="I30" s="75">
        <f t="shared" si="2"/>
        <v>28</v>
      </c>
      <c r="J30" s="54">
        <v>10</v>
      </c>
      <c r="K30" s="55">
        <v>20</v>
      </c>
      <c r="L30" s="150"/>
      <c r="M30" s="75">
        <f t="shared" si="3"/>
        <v>28</v>
      </c>
      <c r="N30" s="54">
        <v>82.9</v>
      </c>
      <c r="O30" s="55">
        <v>2230</v>
      </c>
      <c r="P30" s="150"/>
      <c r="Q30" s="75">
        <f t="shared" si="4"/>
        <v>28</v>
      </c>
      <c r="R30" s="54">
        <v>101.35</v>
      </c>
      <c r="S30" s="55">
        <v>1300</v>
      </c>
      <c r="T30" s="150"/>
      <c r="U30" s="75">
        <f t="shared" si="5"/>
        <v>28</v>
      </c>
      <c r="V30" s="54">
        <v>24.66</v>
      </c>
      <c r="W30" s="55">
        <v>25</v>
      </c>
      <c r="X30" s="150"/>
      <c r="Y30" s="75">
        <f t="shared" si="6"/>
        <v>28</v>
      </c>
      <c r="Z30" s="54">
        <v>16.850000000000001</v>
      </c>
      <c r="AA30" s="55">
        <v>536</v>
      </c>
      <c r="AB30" s="150">
        <v>4.1666666666666664E-2</v>
      </c>
      <c r="AC30" s="75">
        <f t="shared" si="7"/>
        <v>28</v>
      </c>
      <c r="AD30" s="54">
        <v>17.8</v>
      </c>
      <c r="AE30" s="55">
        <v>360</v>
      </c>
      <c r="AF30" s="150"/>
      <c r="AG30" s="75">
        <f t="shared" si="8"/>
        <v>28</v>
      </c>
      <c r="AH30" s="54">
        <v>16</v>
      </c>
      <c r="AI30" s="55">
        <v>220</v>
      </c>
      <c r="AJ30" s="150"/>
      <c r="AK30" s="75">
        <f t="shared" si="9"/>
        <v>28</v>
      </c>
      <c r="AL30" s="54">
        <v>41.04</v>
      </c>
      <c r="AM30" s="55">
        <v>448</v>
      </c>
      <c r="AN30" s="150"/>
      <c r="AO30" s="75">
        <f t="shared" si="10"/>
        <v>28</v>
      </c>
      <c r="AP30" s="54"/>
      <c r="AQ30" s="55"/>
      <c r="AR30" s="150"/>
      <c r="AS30" s="75">
        <f t="shared" si="11"/>
        <v>28</v>
      </c>
      <c r="AT30" s="54">
        <v>11.1</v>
      </c>
      <c r="AU30" s="55">
        <v>40</v>
      </c>
      <c r="AV30" s="150"/>
      <c r="AW30" s="67"/>
    </row>
    <row r="31" spans="1:49" s="49" customFormat="1" ht="11.25" x14ac:dyDescent="0.2">
      <c r="A31" s="73">
        <f t="shared" si="0"/>
        <v>29</v>
      </c>
      <c r="B31" s="54">
        <v>25.3</v>
      </c>
      <c r="C31" s="55">
        <v>316</v>
      </c>
      <c r="D31" s="150"/>
      <c r="E31" s="75">
        <v>29</v>
      </c>
      <c r="F31" s="54">
        <v>8.23</v>
      </c>
      <c r="G31" s="55">
        <v>45</v>
      </c>
      <c r="H31" s="150"/>
      <c r="I31" s="75">
        <f t="shared" si="2"/>
        <v>29</v>
      </c>
      <c r="J31" s="54">
        <v>12.8</v>
      </c>
      <c r="K31" s="55">
        <v>70</v>
      </c>
      <c r="L31" s="150"/>
      <c r="M31" s="75">
        <f t="shared" si="3"/>
        <v>29</v>
      </c>
      <c r="N31" s="54">
        <v>24.36</v>
      </c>
      <c r="O31" s="55">
        <v>380</v>
      </c>
      <c r="P31" s="150"/>
      <c r="Q31" s="75">
        <f t="shared" si="4"/>
        <v>29</v>
      </c>
      <c r="R31" s="54">
        <v>21.46</v>
      </c>
      <c r="S31" s="55">
        <v>86</v>
      </c>
      <c r="T31" s="150"/>
      <c r="U31" s="75">
        <f t="shared" si="5"/>
        <v>29</v>
      </c>
      <c r="V31" s="54">
        <v>55.28</v>
      </c>
      <c r="W31" s="55">
        <v>230</v>
      </c>
      <c r="X31" s="150"/>
      <c r="Y31" s="75">
        <f t="shared" si="6"/>
        <v>29</v>
      </c>
      <c r="Z31" s="54">
        <v>43.6</v>
      </c>
      <c r="AA31" s="55">
        <v>930</v>
      </c>
      <c r="AB31" s="150"/>
      <c r="AC31" s="75">
        <f t="shared" si="7"/>
        <v>29</v>
      </c>
      <c r="AD31" s="54">
        <v>16.3</v>
      </c>
      <c r="AE31" s="55">
        <v>385</v>
      </c>
      <c r="AF31" s="150"/>
      <c r="AG31" s="75">
        <f t="shared" si="8"/>
        <v>29</v>
      </c>
      <c r="AH31" s="54">
        <v>21</v>
      </c>
      <c r="AI31" s="55">
        <v>190</v>
      </c>
      <c r="AJ31" s="150">
        <v>4.1666666666666664E-2</v>
      </c>
      <c r="AK31" s="75">
        <f t="shared" si="9"/>
        <v>29</v>
      </c>
      <c r="AL31" s="54">
        <v>17</v>
      </c>
      <c r="AM31" s="55">
        <v>78</v>
      </c>
      <c r="AN31" s="150"/>
      <c r="AO31" s="75">
        <f t="shared" si="10"/>
        <v>29</v>
      </c>
      <c r="AP31" s="54">
        <v>13.1</v>
      </c>
      <c r="AQ31" s="55">
        <v>40</v>
      </c>
      <c r="AR31" s="150"/>
      <c r="AS31" s="75">
        <f t="shared" si="11"/>
        <v>29</v>
      </c>
      <c r="AT31" s="54">
        <v>43.7</v>
      </c>
      <c r="AU31" s="55">
        <v>505</v>
      </c>
      <c r="AV31" s="150"/>
      <c r="AW31" s="67"/>
    </row>
    <row r="32" spans="1:49" s="49" customFormat="1" ht="11.25" x14ac:dyDescent="0.2">
      <c r="A32" s="73">
        <f t="shared" si="0"/>
        <v>30</v>
      </c>
      <c r="B32" s="54">
        <v>17.05</v>
      </c>
      <c r="C32" s="55">
        <v>536</v>
      </c>
      <c r="D32" s="150"/>
      <c r="E32" s="75"/>
      <c r="F32" s="54"/>
      <c r="G32" s="55"/>
      <c r="H32" s="150"/>
      <c r="I32" s="75">
        <f t="shared" si="2"/>
        <v>30</v>
      </c>
      <c r="J32" s="54">
        <v>15.32</v>
      </c>
      <c r="K32" s="55">
        <v>98</v>
      </c>
      <c r="L32" s="150"/>
      <c r="M32" s="75">
        <f t="shared" si="3"/>
        <v>30</v>
      </c>
      <c r="N32" s="54">
        <v>16.850000000000001</v>
      </c>
      <c r="O32" s="55">
        <v>536</v>
      </c>
      <c r="P32" s="150"/>
      <c r="Q32" s="75">
        <f t="shared" si="4"/>
        <v>30</v>
      </c>
      <c r="R32" s="54">
        <v>9.0399999999999991</v>
      </c>
      <c r="S32" s="55">
        <v>48</v>
      </c>
      <c r="T32" s="150"/>
      <c r="U32" s="75">
        <f t="shared" si="5"/>
        <v>30</v>
      </c>
      <c r="V32" s="54">
        <v>49.93</v>
      </c>
      <c r="W32" s="55">
        <v>303</v>
      </c>
      <c r="X32" s="150"/>
      <c r="Y32" s="75">
        <f t="shared" si="6"/>
        <v>30</v>
      </c>
      <c r="Z32" s="54">
        <v>24.099999999999998</v>
      </c>
      <c r="AA32" s="55">
        <v>370</v>
      </c>
      <c r="AB32" s="150"/>
      <c r="AC32" s="75">
        <f t="shared" si="7"/>
        <v>30</v>
      </c>
      <c r="AD32" s="54">
        <v>14.8</v>
      </c>
      <c r="AE32" s="55">
        <v>330</v>
      </c>
      <c r="AF32" s="150"/>
      <c r="AG32" s="75">
        <f t="shared" si="8"/>
        <v>30</v>
      </c>
      <c r="AH32" s="54">
        <v>55.660000000000004</v>
      </c>
      <c r="AI32" s="55">
        <v>978</v>
      </c>
      <c r="AJ32" s="150"/>
      <c r="AK32" s="75">
        <f t="shared" si="9"/>
        <v>30</v>
      </c>
      <c r="AL32" s="54">
        <v>17.3</v>
      </c>
      <c r="AM32" s="55">
        <v>60</v>
      </c>
      <c r="AN32" s="150"/>
      <c r="AO32" s="75">
        <f t="shared" si="10"/>
        <v>30</v>
      </c>
      <c r="AP32" s="54">
        <v>12.83</v>
      </c>
      <c r="AQ32" s="55">
        <v>80</v>
      </c>
      <c r="AR32" s="150"/>
      <c r="AS32" s="75">
        <f t="shared" si="11"/>
        <v>30</v>
      </c>
      <c r="AT32" s="54">
        <v>20.700000000000003</v>
      </c>
      <c r="AU32" s="55">
        <v>334</v>
      </c>
      <c r="AV32" s="150">
        <v>3.5416666666666666E-2</v>
      </c>
      <c r="AW32" s="67"/>
    </row>
    <row r="33" spans="1:49" s="49" customFormat="1" ht="11.25" x14ac:dyDescent="0.2">
      <c r="A33" s="74">
        <f t="shared" si="0"/>
        <v>31</v>
      </c>
      <c r="B33" s="62">
        <v>10.6</v>
      </c>
      <c r="C33" s="63">
        <v>40</v>
      </c>
      <c r="D33" s="151"/>
      <c r="E33" s="76"/>
      <c r="F33" s="62"/>
      <c r="G33" s="63"/>
      <c r="H33" s="151"/>
      <c r="I33" s="76">
        <f t="shared" si="2"/>
        <v>31</v>
      </c>
      <c r="J33" s="62">
        <v>18.190000000000001</v>
      </c>
      <c r="K33" s="63">
        <v>106</v>
      </c>
      <c r="L33" s="151"/>
      <c r="M33" s="76"/>
      <c r="N33" s="62"/>
      <c r="O33" s="63"/>
      <c r="P33" s="151"/>
      <c r="Q33" s="76">
        <f t="shared" si="4"/>
        <v>31</v>
      </c>
      <c r="R33" s="62">
        <v>10.3</v>
      </c>
      <c r="S33" s="63">
        <v>60</v>
      </c>
      <c r="T33" s="151"/>
      <c r="U33" s="76"/>
      <c r="V33" s="62"/>
      <c r="W33" s="63"/>
      <c r="X33" s="151"/>
      <c r="Y33" s="76">
        <f t="shared" si="6"/>
        <v>31</v>
      </c>
      <c r="Z33" s="62">
        <v>20.36</v>
      </c>
      <c r="AA33" s="63">
        <v>120</v>
      </c>
      <c r="AB33" s="151"/>
      <c r="AC33" s="76">
        <f t="shared" si="7"/>
        <v>31</v>
      </c>
      <c r="AD33" s="62">
        <v>31.57</v>
      </c>
      <c r="AE33" s="63">
        <v>276</v>
      </c>
      <c r="AF33" s="151"/>
      <c r="AG33" s="76"/>
      <c r="AH33" s="62"/>
      <c r="AI33" s="63"/>
      <c r="AJ33" s="151"/>
      <c r="AK33" s="76">
        <f t="shared" si="9"/>
        <v>31</v>
      </c>
      <c r="AL33" s="62">
        <v>20.6</v>
      </c>
      <c r="AM33" s="63">
        <v>90</v>
      </c>
      <c r="AN33" s="151"/>
      <c r="AO33" s="76"/>
      <c r="AP33" s="62"/>
      <c r="AQ33" s="63"/>
      <c r="AR33" s="151"/>
      <c r="AS33" s="76">
        <f t="shared" si="11"/>
        <v>31</v>
      </c>
      <c r="AT33" s="62">
        <v>10.1</v>
      </c>
      <c r="AU33" s="63">
        <v>306</v>
      </c>
      <c r="AV33" s="151"/>
      <c r="AW33" s="67"/>
    </row>
    <row r="34" spans="1:49" s="49" customFormat="1" ht="11.25" x14ac:dyDescent="0.2">
      <c r="A34" s="45" t="s">
        <v>92</v>
      </c>
      <c r="B34" s="47">
        <f>SUM(B3:B33)</f>
        <v>427.17000000000013</v>
      </c>
      <c r="C34" s="48">
        <f>SUM(C3:C33)</f>
        <v>3700</v>
      </c>
      <c r="D34" s="79">
        <f>(SUM(D3:D33)/D39)*C39</f>
        <v>24</v>
      </c>
      <c r="E34" s="65"/>
      <c r="F34" s="47">
        <f>SUM(F3:F33)</f>
        <v>484.75999999999993</v>
      </c>
      <c r="G34" s="48">
        <f>SUM(G3:G33)</f>
        <v>4066</v>
      </c>
      <c r="H34" s="79">
        <f>(SUM(H3:H33)/D39)*C39</f>
        <v>98.000000000000014</v>
      </c>
      <c r="I34" s="65"/>
      <c r="J34" s="47">
        <f>SUM(J3:J33)</f>
        <v>630.3900000000001</v>
      </c>
      <c r="K34" s="48">
        <f>SUM(K3:K33)</f>
        <v>6414</v>
      </c>
      <c r="L34" s="79">
        <f>(SUM(L3:L33)/D39)*C39</f>
        <v>12</v>
      </c>
      <c r="M34" s="77"/>
      <c r="N34" s="47">
        <f>SUM(N3:N33)</f>
        <v>698.91</v>
      </c>
      <c r="O34" s="48">
        <f>SUM(O3:O33)</f>
        <v>8314</v>
      </c>
      <c r="P34" s="79">
        <f>(SUM(P3:P33)/D39)*C39</f>
        <v>48</v>
      </c>
      <c r="Q34" s="65"/>
      <c r="R34" s="47">
        <f>SUM(R3:R33)</f>
        <v>894.25500000000022</v>
      </c>
      <c r="S34" s="48">
        <f>SUM(S3:S33)</f>
        <v>12351</v>
      </c>
      <c r="T34" s="79">
        <f>(SUM(T3:T33)/D39)*C39</f>
        <v>110.00000000000001</v>
      </c>
      <c r="U34" s="65"/>
      <c r="V34" s="47">
        <f>SUM(V3:V33)</f>
        <v>867.75999999999976</v>
      </c>
      <c r="W34" s="48">
        <f>SUM(W3:W33)</f>
        <v>9005</v>
      </c>
      <c r="X34" s="79">
        <f>(SUM(X3:X33)/D39)*C39</f>
        <v>18</v>
      </c>
      <c r="Y34" s="65"/>
      <c r="Z34" s="47">
        <f>SUM(Z3:Z33)</f>
        <v>855.72</v>
      </c>
      <c r="AA34" s="48">
        <f>SUM(AA3:AA33)</f>
        <v>10290</v>
      </c>
      <c r="AB34" s="79">
        <f>(SUM(AB3:AB33)/D39)*C39</f>
        <v>175.60000000000002</v>
      </c>
      <c r="AC34" s="65"/>
      <c r="AD34" s="47">
        <f>SUM(AD3:AD33)</f>
        <v>1016.9499999999999</v>
      </c>
      <c r="AE34" s="48">
        <f>SUM(AE3:AE33)</f>
        <v>13461</v>
      </c>
      <c r="AF34" s="79">
        <f>(SUM(AF3:AF33)/D39)*C39</f>
        <v>42.399999999999991</v>
      </c>
      <c r="AG34" s="65"/>
      <c r="AH34" s="47">
        <f>SUM(AH3:AH33)</f>
        <v>418.06</v>
      </c>
      <c r="AI34" s="48">
        <f>SUM(AI3:AI33)</f>
        <v>4635</v>
      </c>
      <c r="AJ34" s="79">
        <f>(SUM(AJ3:AJ33)/D39)*C39</f>
        <v>66.000000000000014</v>
      </c>
      <c r="AK34" s="65"/>
      <c r="AL34" s="47">
        <f>SUM(AL3:AL33)</f>
        <v>650.08999999999992</v>
      </c>
      <c r="AM34" s="48">
        <f>SUM(AM3:AM33)</f>
        <v>7393</v>
      </c>
      <c r="AN34" s="79">
        <f>(SUM(AN3:AN33)/D39)*C39</f>
        <v>53.2</v>
      </c>
      <c r="AO34" s="65"/>
      <c r="AP34" s="47">
        <f>SUM(AP3:AP33)</f>
        <v>468.68000000000006</v>
      </c>
      <c r="AQ34" s="48">
        <f>SUM(AQ3:AQ33)</f>
        <v>4556</v>
      </c>
      <c r="AR34" s="79">
        <f>(SUM(AR3:AR33)/D39)*C39</f>
        <v>83.6</v>
      </c>
      <c r="AS34" s="65"/>
      <c r="AT34" s="47">
        <f>SUM(AT3:AT33)</f>
        <v>394.93</v>
      </c>
      <c r="AU34" s="48">
        <f>SUM(AU3:AU33)</f>
        <v>5078</v>
      </c>
      <c r="AV34" s="79">
        <f>(SUM(AV3:AV33)/D39)*C39</f>
        <v>168.39999999999998</v>
      </c>
      <c r="AW34" s="67"/>
    </row>
    <row r="35" spans="1:49" s="52" customFormat="1" ht="11.25" x14ac:dyDescent="0.2">
      <c r="A35" s="46" t="s">
        <v>93</v>
      </c>
      <c r="B35" s="50">
        <f>B34</f>
        <v>427.17000000000013</v>
      </c>
      <c r="C35" s="51">
        <f>C34</f>
        <v>3700</v>
      </c>
      <c r="D35" s="80">
        <f>D34</f>
        <v>24</v>
      </c>
      <c r="E35" s="66"/>
      <c r="F35" s="50">
        <f>F34+B35</f>
        <v>911.93000000000006</v>
      </c>
      <c r="G35" s="51">
        <f>G34+C35</f>
        <v>7766</v>
      </c>
      <c r="H35" s="80">
        <f>H34+D35</f>
        <v>122.00000000000001</v>
      </c>
      <c r="I35" s="66"/>
      <c r="J35" s="50">
        <f>J34+F35</f>
        <v>1542.3200000000002</v>
      </c>
      <c r="K35" s="51">
        <f>K34+G35</f>
        <v>14180</v>
      </c>
      <c r="L35" s="80">
        <f>L34+H35</f>
        <v>134</v>
      </c>
      <c r="M35" s="66"/>
      <c r="N35" s="50">
        <f>N34+J35</f>
        <v>2241.23</v>
      </c>
      <c r="O35" s="51">
        <f>O34+K35</f>
        <v>22494</v>
      </c>
      <c r="P35" s="80">
        <f>P34+L35</f>
        <v>182</v>
      </c>
      <c r="Q35" s="66"/>
      <c r="R35" s="50">
        <f>R34+N35</f>
        <v>3135.4850000000001</v>
      </c>
      <c r="S35" s="51">
        <f>S34+O35</f>
        <v>34845</v>
      </c>
      <c r="T35" s="80">
        <f>T34+P35</f>
        <v>292</v>
      </c>
      <c r="U35" s="66"/>
      <c r="V35" s="50">
        <f>V34+R35</f>
        <v>4003.2449999999999</v>
      </c>
      <c r="W35" s="51">
        <f>W34+S35</f>
        <v>43850</v>
      </c>
      <c r="X35" s="80">
        <f>X34+T35</f>
        <v>310</v>
      </c>
      <c r="Y35" s="66"/>
      <c r="Z35" s="50">
        <f>Z34+V35</f>
        <v>4858.9650000000001</v>
      </c>
      <c r="AA35" s="51">
        <f>AA34+W35</f>
        <v>54140</v>
      </c>
      <c r="AB35" s="80">
        <f>AB34+X35</f>
        <v>485.6</v>
      </c>
      <c r="AC35" s="66"/>
      <c r="AD35" s="50">
        <f>AD34+Z35</f>
        <v>5875.915</v>
      </c>
      <c r="AE35" s="51">
        <f>AE34+AA35</f>
        <v>67601</v>
      </c>
      <c r="AF35" s="80">
        <f>AF34+AB35</f>
        <v>528</v>
      </c>
      <c r="AG35" s="66"/>
      <c r="AH35" s="50">
        <f>AH34+AD35</f>
        <v>6293.9750000000004</v>
      </c>
      <c r="AI35" s="51">
        <f>AI34+AE35</f>
        <v>72236</v>
      </c>
      <c r="AJ35" s="80">
        <f>AJ34+AF35</f>
        <v>594</v>
      </c>
      <c r="AK35" s="66"/>
      <c r="AL35" s="50">
        <f>AL34+AH35</f>
        <v>6944.0650000000005</v>
      </c>
      <c r="AM35" s="51">
        <f>AM34+AI35</f>
        <v>79629</v>
      </c>
      <c r="AN35" s="80">
        <f>AN34+AJ35</f>
        <v>647.20000000000005</v>
      </c>
      <c r="AO35" s="66"/>
      <c r="AP35" s="50">
        <f>AP34+AL35</f>
        <v>7412.7450000000008</v>
      </c>
      <c r="AQ35" s="51">
        <f>AQ34+AM35</f>
        <v>84185</v>
      </c>
      <c r="AR35" s="80">
        <f>AR34+AN35</f>
        <v>730.80000000000007</v>
      </c>
      <c r="AS35" s="66"/>
      <c r="AT35" s="50">
        <f>AT34+AP35</f>
        <v>7807.6750000000011</v>
      </c>
      <c r="AU35" s="51">
        <f>AU34+AQ35</f>
        <v>89263</v>
      </c>
      <c r="AV35" s="80">
        <f>AV34+AR35</f>
        <v>899.2</v>
      </c>
      <c r="AW35" s="92"/>
    </row>
    <row r="36" spans="1:49" s="49" customFormat="1" ht="11.25" x14ac:dyDescent="0.2">
      <c r="A36" s="49" t="s">
        <v>149</v>
      </c>
      <c r="B36" s="54">
        <f>MAX(B3:B33)</f>
        <v>29.52</v>
      </c>
      <c r="C36" s="55">
        <f>MAX(C3:C33)</f>
        <v>536</v>
      </c>
      <c r="D36" s="152">
        <f>MAX(D3:D33)</f>
        <v>4.1666666666666664E-2</v>
      </c>
      <c r="E36" s="67"/>
      <c r="F36" s="54">
        <f>MAX(F3:F33)</f>
        <v>51.4</v>
      </c>
      <c r="G36" s="55">
        <f>MAX(G3:G33)</f>
        <v>683</v>
      </c>
      <c r="H36" s="152">
        <f>MAX(H3:H33)</f>
        <v>8.3333333333333329E-2</v>
      </c>
      <c r="I36" s="67"/>
      <c r="J36" s="315">
        <f>MAX(J3:J33)</f>
        <v>103.14</v>
      </c>
      <c r="K36" s="55">
        <f>MAX(K3:K33)</f>
        <v>1595</v>
      </c>
      <c r="L36" s="152">
        <f>MAX(L3:L33)</f>
        <v>2.0833333333333332E-2</v>
      </c>
      <c r="M36" s="67"/>
      <c r="N36" s="54">
        <f>MAX(N3:N33)</f>
        <v>94.1</v>
      </c>
      <c r="O36" s="314">
        <f>MAX(O3:O33)</f>
        <v>2230</v>
      </c>
      <c r="P36" s="152">
        <f>MAX(P3:P33)</f>
        <v>4.1666666666666664E-2</v>
      </c>
      <c r="Q36" s="67"/>
      <c r="R36" s="54">
        <f>MAX(R3:R33)</f>
        <v>104.83999999999999</v>
      </c>
      <c r="S36" s="55">
        <f>MAX(S3:S33)</f>
        <v>1539</v>
      </c>
      <c r="T36" s="152">
        <f>MAX(T3:T33)</f>
        <v>6.25E-2</v>
      </c>
      <c r="U36" s="67"/>
      <c r="V36" s="54">
        <f>MAX(V3:V33)</f>
        <v>102.45</v>
      </c>
      <c r="W36" s="55">
        <f>MAX(W3:W33)</f>
        <v>1440</v>
      </c>
      <c r="X36" s="152">
        <f>MAX(X3:X33)</f>
        <v>3.125E-2</v>
      </c>
      <c r="Y36" s="67"/>
      <c r="Z36" s="54">
        <f>MAX(Z3:Z33)</f>
        <v>66.209999999999994</v>
      </c>
      <c r="AA36" s="55">
        <f>MAX(AA3:AA33)</f>
        <v>1305</v>
      </c>
      <c r="AB36" s="152">
        <f>MAX(AB3:AB33)</f>
        <v>9.930555555555555E-2</v>
      </c>
      <c r="AC36" s="67"/>
      <c r="AD36" s="315">
        <f>MAX(AD3:AD33)</f>
        <v>130.34</v>
      </c>
      <c r="AE36" s="314">
        <f>MAX(AE3:AE33)</f>
        <v>1503</v>
      </c>
      <c r="AF36" s="152">
        <f>MAX(AF3:AF33)</f>
        <v>4.2361111111111106E-2</v>
      </c>
      <c r="AG36" s="67"/>
      <c r="AH36" s="54">
        <f>MAX(AH3:AH33)</f>
        <v>55.660000000000004</v>
      </c>
      <c r="AI36" s="55">
        <f>MAX(AI3:AI33)</f>
        <v>978</v>
      </c>
      <c r="AJ36" s="152">
        <f>MAX(AJ3:AJ33)</f>
        <v>4.5833333333333337E-2</v>
      </c>
      <c r="AK36" s="67"/>
      <c r="AL36" s="54">
        <f>MAX(AL3:AL33)</f>
        <v>63.8</v>
      </c>
      <c r="AM36" s="55">
        <f>MAX(AM3:AM33)</f>
        <v>910</v>
      </c>
      <c r="AN36" s="152">
        <f>MAX(AN3:AN33)</f>
        <v>4.5138888888888888E-2</v>
      </c>
      <c r="AO36" s="67"/>
      <c r="AP36" s="54">
        <f>MAX(AP3:AP33)</f>
        <v>42.86</v>
      </c>
      <c r="AQ36" s="55">
        <f>MAX(AQ3:AQ33)</f>
        <v>676</v>
      </c>
      <c r="AR36" s="152">
        <f>MAX(AR3:AR33)</f>
        <v>8.5416666666666655E-2</v>
      </c>
      <c r="AS36" s="67"/>
      <c r="AT36" s="54">
        <f>MAX(AT3:AT33)</f>
        <v>53.66</v>
      </c>
      <c r="AU36" s="55">
        <f>MAX(AU3:AU33)</f>
        <v>568</v>
      </c>
      <c r="AV36" s="152">
        <f>MAX(AV3:AV33)</f>
        <v>0.11388888888888889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16.429615384615389</v>
      </c>
      <c r="C37" s="55">
        <f>IFERROR(AVERAGE(C3:C33),0)</f>
        <v>142.30769230769232</v>
      </c>
      <c r="D37" s="152">
        <f>IFERROR(AVERAGE(D3:D33),0)</f>
        <v>4.1666666666666664E-2</v>
      </c>
      <c r="E37" s="67"/>
      <c r="F37" s="54">
        <f>IFERROR(AVERAGE(F3:F33),0)</f>
        <v>19.390399999999996</v>
      </c>
      <c r="G37" s="55">
        <f>IFERROR(AVERAGE(G3:G33),0)</f>
        <v>162.63999999999999</v>
      </c>
      <c r="H37" s="152">
        <f>IFERROR(AVERAGE(H3:H33),0)</f>
        <v>4.2534722222222224E-2</v>
      </c>
      <c r="I37" s="67"/>
      <c r="J37" s="54">
        <f>IFERROR(AVERAGE(J3:J33),0)</f>
        <v>23.347777777777782</v>
      </c>
      <c r="K37" s="55">
        <f>IFERROR(AVERAGE(K3:K33),0)</f>
        <v>237.55555555555554</v>
      </c>
      <c r="L37" s="152">
        <f>IFERROR(AVERAGE(L3:L33),0)</f>
        <v>2.0833333333333332E-2</v>
      </c>
      <c r="M37" s="67"/>
      <c r="N37" s="54">
        <f>IFERROR(AVERAGE(N3:N33),0)</f>
        <v>24.961071428571426</v>
      </c>
      <c r="O37" s="55">
        <f>IFERROR(AVERAGE(O3:O33),0)</f>
        <v>296.92857142857144</v>
      </c>
      <c r="P37" s="152">
        <f>IFERROR(AVERAGE(P3:P33),0)</f>
        <v>4.1666666666666664E-2</v>
      </c>
      <c r="Q37" s="67"/>
      <c r="R37" s="54">
        <f>IFERROR(AVERAGE(R3:R33),0)</f>
        <v>30.836379310344835</v>
      </c>
      <c r="S37" s="55">
        <f>IFERROR(AVERAGE(S3:S33),0)</f>
        <v>425.89655172413791</v>
      </c>
      <c r="T37" s="152">
        <f>IFERROR(AVERAGE(T3:T33),0)</f>
        <v>4.7743055555555559E-2</v>
      </c>
      <c r="U37" s="67"/>
      <c r="V37" s="54">
        <f>IFERROR(AVERAGE(V3:V33),0)</f>
        <v>34.710399999999993</v>
      </c>
      <c r="W37" s="55">
        <f>IFERROR(AVERAGE(W3:W33),0)</f>
        <v>360.2</v>
      </c>
      <c r="X37" s="152">
        <f>IFERROR(AVERAGE(X3:X33),0)</f>
        <v>3.125E-2</v>
      </c>
      <c r="Y37" s="67"/>
      <c r="Z37" s="54">
        <f>IFERROR(AVERAGE(Z3:Z33),0)</f>
        <v>28.524000000000001</v>
      </c>
      <c r="AA37" s="55">
        <f>IFERROR(AVERAGE(AA3:AA33),0)</f>
        <v>343</v>
      </c>
      <c r="AB37" s="152">
        <f>IFERROR(AVERAGE(AB3:AB33),0)</f>
        <v>5.0810185185185187E-2</v>
      </c>
      <c r="AC37" s="67"/>
      <c r="AD37" s="54">
        <f>IFERROR(AVERAGE(AD3:AD33),0)</f>
        <v>32.804838709677419</v>
      </c>
      <c r="AE37" s="55">
        <f>IFERROR(AVERAGE(AE3:AE33),0)</f>
        <v>434.22580645161293</v>
      </c>
      <c r="AF37" s="152">
        <f>IFERROR(AVERAGE(AF3:AF33),0)</f>
        <v>3.680555555555555E-2</v>
      </c>
      <c r="AG37" s="67"/>
      <c r="AH37" s="54">
        <f>IFERROR(AVERAGE(AH3:AH33),0)</f>
        <v>19.002727272727274</v>
      </c>
      <c r="AI37" s="55">
        <f>IFERROR(AVERAGE(AI3:AI33),0)</f>
        <v>210.68181818181819</v>
      </c>
      <c r="AJ37" s="152">
        <f>IFERROR(AVERAGE(AJ3:AJ33),0)</f>
        <v>3.8194444444444448E-2</v>
      </c>
      <c r="AK37" s="67"/>
      <c r="AL37" s="54">
        <f>IFERROR(AVERAGE(AL3:AL33),0)</f>
        <v>23.217499999999998</v>
      </c>
      <c r="AM37" s="55">
        <f>IFERROR(AVERAGE(AM3:AM33),0)</f>
        <v>264.03571428571428</v>
      </c>
      <c r="AN37" s="152">
        <f>IFERROR(AVERAGE(AN3:AN33),0)</f>
        <v>3.078703703703704E-2</v>
      </c>
      <c r="AO37" s="67"/>
      <c r="AP37" s="54">
        <f>IFERROR(AVERAGE(AP3:AP33),0)</f>
        <v>18.747200000000003</v>
      </c>
      <c r="AQ37" s="55">
        <f>IFERROR(AVERAGE(AQ3:AQ33),0)</f>
        <v>182.24</v>
      </c>
      <c r="AR37" s="152">
        <f>IFERROR(AVERAGE(AR3:AR33),0)</f>
        <v>7.2569444444444436E-2</v>
      </c>
      <c r="AS37" s="67"/>
      <c r="AT37" s="54">
        <f>IFERROR(AVERAGE(AT3:AT33),0)</f>
        <v>18.806190476190476</v>
      </c>
      <c r="AU37" s="55">
        <f>IFERROR(AVERAGE(AU3:AU33),0)</f>
        <v>241.8095238095238</v>
      </c>
      <c r="AV37" s="152">
        <f>IFERROR(AVERAGE(AV3:AV33),0)</f>
        <v>4.8726851851851848E-2</v>
      </c>
      <c r="AW37" s="67"/>
    </row>
    <row r="38" spans="1:49" s="49" customFormat="1" ht="11.25" x14ac:dyDescent="0.2">
      <c r="A38" s="49" t="s">
        <v>236</v>
      </c>
      <c r="B38" s="54">
        <f>B34-'11'!B34</f>
        <v>186.16000000000017</v>
      </c>
      <c r="C38" s="78">
        <f>C34-'11'!C34</f>
        <v>1901</v>
      </c>
      <c r="D38" s="105">
        <f>IF(B34+D34=0,0,D34/(B34+D34))</f>
        <v>5.3195026265044201E-2</v>
      </c>
      <c r="E38" s="67"/>
      <c r="F38" s="54">
        <f>F34-'11'!F34</f>
        <v>143.86999999999989</v>
      </c>
      <c r="G38" s="78">
        <f>G34-'11'!G34</f>
        <v>830</v>
      </c>
      <c r="H38" s="105">
        <f>IF(F34+H34=0,0,H34/(F34+H34))</f>
        <v>0.16816528244903564</v>
      </c>
      <c r="I38" s="67"/>
      <c r="J38" s="54">
        <f>J34-'11'!J34</f>
        <v>232.16000000000008</v>
      </c>
      <c r="K38" s="78">
        <f>K34-'11'!K34</f>
        <v>3441</v>
      </c>
      <c r="L38" s="105">
        <f>IF(J34+L34=0,0,L34/(J34+L34))</f>
        <v>1.8680240975108574E-2</v>
      </c>
      <c r="M38" s="67"/>
      <c r="N38" s="54">
        <f>N34-'11'!N34</f>
        <v>-125.75000000000011</v>
      </c>
      <c r="O38" s="78">
        <f>O34-'11'!O34</f>
        <v>671</v>
      </c>
      <c r="P38" s="105">
        <f>IF(N34+P34=0,0,P34/(N34+P34))</f>
        <v>6.4264770855926426E-2</v>
      </c>
      <c r="Q38" s="67"/>
      <c r="R38" s="54">
        <f>R34-'11'!R34</f>
        <v>239.57500000000027</v>
      </c>
      <c r="S38" s="78">
        <f>S34-'11'!S34</f>
        <v>4857</v>
      </c>
      <c r="T38" s="105">
        <f>IF(R34+T34=0,0,T34/(R34+T34))</f>
        <v>0.10953393311459737</v>
      </c>
      <c r="U38" s="67"/>
      <c r="V38" s="54">
        <f>V34-'11'!V34</f>
        <v>-34.290000000000418</v>
      </c>
      <c r="W38" s="78">
        <f>W34-'11'!W34</f>
        <v>-3605</v>
      </c>
      <c r="X38" s="105">
        <f>IF(V34+X34=0,0,X34/(V34+X34))</f>
        <v>2.0321531791907519E-2</v>
      </c>
      <c r="Y38" s="67"/>
      <c r="Z38" s="54">
        <f>Z34-'11'!Z34</f>
        <v>249.59999999999991</v>
      </c>
      <c r="AA38" s="78">
        <f>AA34-'11'!AA34</f>
        <v>3651</v>
      </c>
      <c r="AB38" s="105">
        <f>IF(Z34+AB34=0,0,AB34/(Z34+AB34))</f>
        <v>0.17026723034557653</v>
      </c>
      <c r="AC38" s="67"/>
      <c r="AD38" s="54">
        <f>AD34-'11'!AD34</f>
        <v>244.66999999999996</v>
      </c>
      <c r="AE38" s="78">
        <f>AE34-'11'!AE34</f>
        <v>4580</v>
      </c>
      <c r="AF38" s="105">
        <f>IF(AD34+AF34=0,0,AF34/(AD34+AF34))</f>
        <v>4.0024543352055499E-2</v>
      </c>
      <c r="AG38" s="67"/>
      <c r="AH38" s="54">
        <f>AH34-'11'!AH34</f>
        <v>-102.87999999999994</v>
      </c>
      <c r="AI38" s="78">
        <f>AI34-'11'!AI34</f>
        <v>-3609</v>
      </c>
      <c r="AJ38" s="105">
        <f>IF(AH34+AJ34=0,0,AJ34/(AH34+AJ34))</f>
        <v>0.13634673387596583</v>
      </c>
      <c r="AK38" s="67"/>
      <c r="AL38" s="54">
        <f>AL34-'11'!AL34</f>
        <v>-42.699999999999932</v>
      </c>
      <c r="AM38" s="78">
        <f>AM34-'11'!AM34</f>
        <v>-344</v>
      </c>
      <c r="AN38" s="105">
        <f>IF(AL34+AN34=0,0,AN34/(AL34+AN34))</f>
        <v>7.5644470986364093E-2</v>
      </c>
      <c r="AO38" s="67"/>
      <c r="AP38" s="54">
        <f>AP34-'11'!AP34</f>
        <v>86.199999999999989</v>
      </c>
      <c r="AQ38" s="78">
        <f>AQ34-'11'!AQ34</f>
        <v>2645</v>
      </c>
      <c r="AR38" s="105">
        <f>IF(AP34+AR34=0,0,AR34/(AP34+AR34))</f>
        <v>0.15137249221409427</v>
      </c>
      <c r="AS38" s="67"/>
      <c r="AT38" s="54">
        <f>AT34-'11'!AT34</f>
        <v>64.079999999999984</v>
      </c>
      <c r="AU38" s="78">
        <f>AU34-'11'!AU34</f>
        <v>2231</v>
      </c>
      <c r="AV38" s="105">
        <f>IF(AT34+AV34=0,0,AV34/(AT34+AV34))</f>
        <v>0.29893668009869878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H39" s="169"/>
      <c r="I39" s="168"/>
      <c r="J39" s="50">
        <f>SUM(B34,F34,J34)</f>
        <v>1542.3200000000002</v>
      </c>
      <c r="K39" s="51">
        <f t="shared" ref="K39:L39" si="12">SUM(C34,G34,K34)</f>
        <v>14180</v>
      </c>
      <c r="L39" s="170">
        <f t="shared" si="12"/>
        <v>134</v>
      </c>
      <c r="M39" s="168"/>
      <c r="P39" s="169"/>
      <c r="Q39" s="168"/>
      <c r="T39" s="169"/>
      <c r="U39" s="168"/>
      <c r="V39" s="50">
        <f>SUM(N34,R34,V34)</f>
        <v>2460.9250000000002</v>
      </c>
      <c r="W39" s="51">
        <f>SUM(O34,S34,W34)</f>
        <v>29670</v>
      </c>
      <c r="X39" s="170">
        <f>SUM(P34,T34,X34)</f>
        <v>176</v>
      </c>
      <c r="Y39" s="168"/>
      <c r="AB39" s="169"/>
      <c r="AC39" s="168"/>
      <c r="AF39" s="169"/>
      <c r="AG39" s="168"/>
      <c r="AH39" s="50">
        <f>SUM(Z34,AD34,AH34)</f>
        <v>2290.73</v>
      </c>
      <c r="AI39" s="51">
        <f>SUM(AA34,AE34,AI34)</f>
        <v>28386</v>
      </c>
      <c r="AJ39" s="170">
        <f>SUM(AB34,AF34,AJ34)</f>
        <v>284</v>
      </c>
      <c r="AK39" s="168"/>
      <c r="AN39" s="169"/>
      <c r="AO39" s="168"/>
      <c r="AR39" s="169"/>
      <c r="AS39" s="168"/>
      <c r="AT39" s="50">
        <f>SUM(AL34,AP34,AT34)</f>
        <v>1513.7</v>
      </c>
      <c r="AU39" s="51">
        <f>SUM(AM34,AQ34,AU34)</f>
        <v>17027</v>
      </c>
      <c r="AV39" s="170">
        <f>SUM(AN34,AR34,AV34)</f>
        <v>305.2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19.722597720797722</v>
      </c>
      <c r="K40" s="55">
        <f>IFERROR(AVERAGE(C37,G37,K37),0)</f>
        <v>180.83441595441596</v>
      </c>
      <c r="L40" s="152">
        <f>IFERROR(AVERAGE(D37,H37,L37),0)</f>
        <v>3.5011574074074077E-2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30.169283579638755</v>
      </c>
      <c r="W40" s="55">
        <f>IFERROR(AVERAGE(O37,S37,W37),0)</f>
        <v>361.00837438423645</v>
      </c>
      <c r="X40" s="152">
        <f>IFERROR(AVERAGE(P37,T37,X37),0)</f>
        <v>4.0219907407407406E-2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26.777188660801567</v>
      </c>
      <c r="AI40" s="55">
        <f>IFERROR(AVERAGE(AA37,AE37,AI37),0)</f>
        <v>329.30254154447704</v>
      </c>
      <c r="AJ40" s="152">
        <f>IFERROR(AVERAGE(AB37,AF37,AJ37),0)</f>
        <v>4.1936728395061733E-2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20.256963492063491</v>
      </c>
      <c r="AU40" s="55">
        <f>IFERROR(AVERAGE(AM37,AQ37,AU37),0)</f>
        <v>229.36174603174604</v>
      </c>
      <c r="AV40" s="152">
        <f>IFERROR(AVERAGE(AN37,AR37,AV37),0)</f>
        <v>5.0694444444444438E-2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10</v>
      </c>
      <c r="C41" s="96">
        <f>RANK(C34,(C34,G34,K34,O34,S34,W34,AA34,AE34,AI34,AM34,AQ34,AU34))</f>
        <v>12</v>
      </c>
      <c r="D41" s="102">
        <f>RANK(D34,(D34,H34,L34,P34,T34,X34,AB34,AF34,AJ34,AN34,AR34,AV34))</f>
        <v>10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11</v>
      </c>
      <c r="H41" s="102">
        <f>RANK(H34,(D34,H34,L34,P34,T34,X34,AB34,AF34,AJ34,AN34,AR34,AV34))</f>
        <v>4</v>
      </c>
      <c r="I41" s="103"/>
      <c r="J41" s="95">
        <f>RANK(J34,(B34,F34,J34,N34,R34,V34,Z34,AD34,AH34,AL34,AP34,AT34))</f>
        <v>7</v>
      </c>
      <c r="K41" s="96">
        <f>RANK(K34,(C34,G34,K34,O34,S34,W34,AA34,AE34,AI34,AM34,AQ34,AU34))</f>
        <v>7</v>
      </c>
      <c r="L41" s="102">
        <f>RANK(L34,(D34,H34,L34,P34,T34,X34,AB34,AF34,AJ34,AN34,AR34,AV34))</f>
        <v>12</v>
      </c>
      <c r="M41" s="103"/>
      <c r="N41" s="95">
        <f>RANK(N34,(B34,F34,J34,N34,R34,V34,Z34,AD34,AH34,AL34,AP34,AT34))</f>
        <v>5</v>
      </c>
      <c r="O41" s="96">
        <f>RANK(O34,(C34,G34,K34,O34,S34,W34,AA34,AE34,AI34,AM34,AQ34,AU34))</f>
        <v>5</v>
      </c>
      <c r="P41" s="102">
        <f>RANK(P34,(D34,H34,L34,P34,T34,X34,AB34,AF34,AJ34,AN34,AR34,AV34))</f>
        <v>8</v>
      </c>
      <c r="Q41" s="103"/>
      <c r="R41" s="95">
        <f>RANK(R34,(B34,F34,J34,N34,R34,V34,Z34,AD34,AH34,AL34,AP34,AT34))</f>
        <v>2</v>
      </c>
      <c r="S41" s="96">
        <f>RANK(S34,(C34,G34,K34,O34,S34,W34,AA34,AE34,AI34,AM34,AQ34,AU34))</f>
        <v>2</v>
      </c>
      <c r="T41" s="102">
        <f>RANK(T34,(D34,H34,L34,P34,T34,X34,AB34,AF34,AJ34,AN34,AR34,AV34))</f>
        <v>3</v>
      </c>
      <c r="U41" s="103"/>
      <c r="V41" s="95">
        <f>RANK(V34,(B34,F34,J34,N34,R34,V34,Z34,AD34,AH34,AL34,AP34,AT34))</f>
        <v>3</v>
      </c>
      <c r="W41" s="96">
        <f>RANK(W34,(C34,G34,K34,O34,S34,W34,AA34,AE34,AI34,AM34,AQ34,AU34))</f>
        <v>4</v>
      </c>
      <c r="X41" s="102">
        <f>RANK(X34,(D34,H34,L34,P34,T34,X34,AB34,AF34,AJ34,AN34,AR34,AV34))</f>
        <v>11</v>
      </c>
      <c r="Y41" s="103"/>
      <c r="Z41" s="95">
        <f>RANK(Z34,(B34,F34,J34,N34,R34,V34,Z34,AD34,AH34,AL34,AP34,AT34))</f>
        <v>4</v>
      </c>
      <c r="AA41" s="96">
        <f>RANK(AA34,(C34,G34,K34,O34,S34,W34,AA34,AE34,AI34,AM34,AQ34,AU34))</f>
        <v>3</v>
      </c>
      <c r="AB41" s="102">
        <f>RANK(AB34,(D34,H34,L34,P34,T34,X34,AB34,AF34,AJ34,AN34,AR34,AV34))</f>
        <v>1</v>
      </c>
      <c r="AC41" s="103"/>
      <c r="AD41" s="95">
        <f>RANK(AD34,(B34,F34,J34,N34,R34,V34,Z34,AD34,AH34,AL34,AP34,AT34))</f>
        <v>1</v>
      </c>
      <c r="AE41" s="96">
        <f>RANK(AE34,(C34,G34,K34,O34,S34,W34,AA34,AE34,AI34,AM34,AQ34,AU34))</f>
        <v>1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11</v>
      </c>
      <c r="AI41" s="96">
        <f>RANK(AI34,(C34,G34,K34,O34,S34,W34,AA34,AE34,AI34,AM34,AQ34,AU34))</f>
        <v>9</v>
      </c>
      <c r="AJ41" s="102">
        <f>RANK(AJ34,(D34,H34,L34,P34,T34,X34,AB34,AF34,AJ34,AN34,AR34,AV34))</f>
        <v>6</v>
      </c>
      <c r="AK41" s="103"/>
      <c r="AL41" s="95">
        <f>RANK(AL34,(B34,F34,J34,N34,R34,V34,Z34,AD34,AH34,AL34,AP34,AT34))</f>
        <v>6</v>
      </c>
      <c r="AM41" s="96">
        <f>RANK(AM34,(C34,G34,K34,O34,S34,W34,AA34,AE34,AI34,AM34,AQ34,AU34))</f>
        <v>6</v>
      </c>
      <c r="AN41" s="102">
        <f>RANK(AN34,(D34,H34,L34,P34,T34,X34,AB34,AF34,AJ34,AN34,AR34,AV34))</f>
        <v>7</v>
      </c>
      <c r="AO41" s="103"/>
      <c r="AP41" s="95">
        <f>RANK(AP34,(B34,F34,J34,N34,R34,V34,Z34,AD34,AH34,AL34,AP34,AT34))</f>
        <v>9</v>
      </c>
      <c r="AQ41" s="96">
        <f>RANK(AQ34,(C34,G34,K34,O34,S34,W34,AA34,AE34,AI34,AM34,AQ34,AU34))</f>
        <v>10</v>
      </c>
      <c r="AR41" s="102">
        <f>RANK(AR34,(D34,H34,L34,P34,T34,X34,AB34,AF34,AJ34,AN34,AR34,AV34))</f>
        <v>5</v>
      </c>
      <c r="AS41" s="103"/>
      <c r="AT41" s="95">
        <f>RANK(AT34,(B34,F34,J34,N34,R34,V34,Z34,AD34,AH34,AL34,AP34,AT34))</f>
        <v>12</v>
      </c>
      <c r="AU41" s="96">
        <f>RANK(AU34,(C34,G34,K34,O34,S34,W34,AA34,AE34,AI34,AM34,AQ34,AU34))</f>
        <v>8</v>
      </c>
      <c r="AV41" s="102">
        <f>RANK(AV34,(D34,H34,L34,P34,T34,X34,AB34,AF34,AJ34,AN34,AR34,AV34))</f>
        <v>2</v>
      </c>
      <c r="AW41" s="107"/>
    </row>
    <row r="42" spans="1:49" s="49" customFormat="1" ht="11.25" x14ac:dyDescent="0.2">
      <c r="A42" s="52" t="s">
        <v>214</v>
      </c>
      <c r="B42" s="86">
        <f>T1</f>
        <v>24.231508363325386</v>
      </c>
      <c r="C42" s="87">
        <f>AB1</f>
        <v>275.12676947871887</v>
      </c>
      <c r="D42" s="88"/>
      <c r="E42" s="176" t="s">
        <v>399</v>
      </c>
      <c r="F42" s="177">
        <f>SUM(J23:J33,N3:N33,R3:R33,V3:V33,Z3:Z33,AD3:AD33,AH3:AH23)</f>
        <v>4834.7450000000026</v>
      </c>
      <c r="G42" s="178">
        <f>SUM(K23:K33,O3:O32,S3:S33,W3:W32,AA3:AA33,AE3:AE33,AI3:AI23)</f>
        <v>59322</v>
      </c>
      <c r="H42" s="179"/>
      <c r="I42" s="179"/>
      <c r="J42" s="180">
        <f>IFERROR(F42/(F42+F43),0)</f>
        <v>0.61922979632220887</v>
      </c>
      <c r="K42" s="180">
        <f>IFERROR(G42/(G42+G43),0)</f>
        <v>0.66457546799905898</v>
      </c>
      <c r="L42" s="179"/>
      <c r="M42" s="259" t="s">
        <v>600</v>
      </c>
      <c r="N42" s="257">
        <v>55</v>
      </c>
      <c r="Y42" s="144"/>
      <c r="AK42" s="211" t="s">
        <v>478</v>
      </c>
      <c r="AL42" s="47">
        <f>MAX(B34,F34,J34,N34,R34,V34,Z34,AD34,AH34,AL34,AP34,AT34)</f>
        <v>1016.9499999999999</v>
      </c>
      <c r="AM42" s="212">
        <f>MAX(C34,G34,K34,O34,S34,W34,AA34,AE34,AI34,AM34,AQ34,AU34)</f>
        <v>13461</v>
      </c>
      <c r="AN42" s="49" t="s">
        <v>346</v>
      </c>
      <c r="AO42" s="210" t="s">
        <v>344</v>
      </c>
      <c r="AP42" s="54">
        <f>R1-'11'!R1</f>
        <v>153.92000000000004</v>
      </c>
      <c r="AQ42" s="78">
        <f>AF1-'11'!AF1</f>
        <v>1901</v>
      </c>
      <c r="AR42" s="49" t="s">
        <v>345</v>
      </c>
      <c r="AS42" s="209" t="s">
        <v>344</v>
      </c>
      <c r="AT42" s="54">
        <f>I1-'11'!I1</f>
        <v>6.3400000000000034</v>
      </c>
      <c r="AU42" s="78">
        <f>AN1-'11'!AN1</f>
        <v>30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21.390890410958907</v>
      </c>
      <c r="C43" s="87">
        <f>AU1/365</f>
        <v>244.55616438356165</v>
      </c>
      <c r="D43" s="88"/>
      <c r="E43" s="172" t="s">
        <v>400</v>
      </c>
      <c r="F43" s="173">
        <f>E1-F42</f>
        <v>2972.9299999999985</v>
      </c>
      <c r="G43" s="174">
        <f>AU1-G42</f>
        <v>29941</v>
      </c>
      <c r="H43" s="175"/>
      <c r="I43" s="175"/>
      <c r="J43" s="181">
        <f>IFERROR(F43/(F42+F43),0)</f>
        <v>0.38077020367779113</v>
      </c>
      <c r="K43" s="181">
        <f>IFERROR(G43/(G42+G43),0)</f>
        <v>0.33542453200094102</v>
      </c>
      <c r="L43" s="175"/>
      <c r="M43" s="65" t="s">
        <v>601</v>
      </c>
      <c r="N43" s="258">
        <v>8</v>
      </c>
      <c r="Y43" s="67"/>
      <c r="AK43" s="213" t="s">
        <v>481</v>
      </c>
      <c r="AL43" s="188">
        <f>IF($B$1&lt;&gt;0,$AV$35/$B1,0)</f>
        <v>0.1032747110760175</v>
      </c>
      <c r="AO43" s="209" t="s">
        <v>344</v>
      </c>
      <c r="AP43" s="54">
        <f>AV35-'11'!AV35</f>
        <v>514.40000000000009</v>
      </c>
      <c r="AQ43" s="188">
        <f>AL43-'11'!AL43</f>
        <v>4.8706928189994406E-2</v>
      </c>
      <c r="AR43" s="49" t="s">
        <v>204</v>
      </c>
      <c r="AS43" s="209" t="s">
        <v>344</v>
      </c>
      <c r="AT43" s="54">
        <f>B1-'11'!B1</f>
        <v>1655.0950000000012</v>
      </c>
      <c r="AU43" s="78">
        <f>AU1-'11'!AU1</f>
        <v>17249</v>
      </c>
      <c r="AV43" s="49" t="s">
        <v>347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587" priority="66" operator="equal">
      <formula>$R$1</formula>
    </cfRule>
    <cfRule type="cellIs" dxfId="586" priority="67" operator="equal">
      <formula>$M$1</formula>
    </cfRule>
  </conditionalFormatting>
  <conditionalFormatting sqref="C34 G34 K34 O34 S34 W34 AA34 AE34 AI34 AM34 AQ34 AU34">
    <cfRule type="cellIs" dxfId="585" priority="65" operator="equal">
      <formula>$AF$1</formula>
    </cfRule>
    <cfRule type="cellIs" dxfId="584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83" priority="62" operator="lessThan">
      <formula>0</formula>
    </cfRule>
    <cfRule type="cellIs" dxfId="582" priority="63" operator="greaterThanOrEqual">
      <formula>0</formula>
    </cfRule>
  </conditionalFormatting>
  <conditionalFormatting sqref="C38 AU42:AU43 AQ42 G38 K38 O38 S38 W38 AA38 AE38 AI38 AM38 AQ38 AU38">
    <cfRule type="cellIs" dxfId="581" priority="60" operator="lessThan">
      <formula>0</formula>
    </cfRule>
    <cfRule type="cellIs" dxfId="580" priority="61" operator="greaterThanOrEqual">
      <formula>0</formula>
    </cfRule>
  </conditionalFormatting>
  <conditionalFormatting sqref="D38">
    <cfRule type="cellIs" dxfId="579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78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77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76" priority="48" stopIfTrue="1" operator="between">
      <formula>0</formula>
      <formula>0.0416550925925926</formula>
    </cfRule>
    <cfRule type="cellIs" dxfId="575" priority="49" stopIfTrue="1" operator="between">
      <formula>0.0416666666666667</formula>
      <formula>0.0833217592592593</formula>
    </cfRule>
    <cfRule type="cellIs" dxfId="574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73" priority="36" operator="equal">
      <formula>MAX($D$36,$H$36,$L$36,$P$36,$T$36,$X$36,$AB$36,$AF$36,$AJ$36,$AN$36,$AR$36,$AV$36)</formula>
    </cfRule>
  </conditionalFormatting>
  <conditionalFormatting sqref="AP43">
    <cfRule type="cellIs" dxfId="572" priority="34" operator="lessThan">
      <formula>0</formula>
    </cfRule>
    <cfRule type="cellIs" dxfId="571" priority="35" operator="greaterThanOrEqual">
      <formula>0</formula>
    </cfRule>
  </conditionalFormatting>
  <conditionalFormatting sqref="B3:B33 F3:F33 J3:J33 N3:N33 R3:R33 V3:V33 Z3:Z33 AT3:AT33 AH3:AH33 AL3:AL33 AP3:AP33 AD3:AD33">
    <cfRule type="cellIs" dxfId="570" priority="57" stopIfTrue="1" operator="lessThan">
      <formula>50</formula>
    </cfRule>
    <cfRule type="cellIs" dxfId="569" priority="58" stopIfTrue="1" operator="greaterThanOrEqual">
      <formula>100</formula>
    </cfRule>
    <cfRule type="cellIs" dxfId="568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67" priority="54" stopIfTrue="1" operator="between">
      <formula>0</formula>
      <formula>749.99</formula>
    </cfRule>
    <cfRule type="cellIs" dxfId="566" priority="55" stopIfTrue="1" operator="greaterThanOrEqual">
      <formula>1500</formula>
    </cfRule>
    <cfRule type="cellIs" dxfId="565" priority="56" operator="greaterThanOrEqual">
      <formula>750</formula>
    </cfRule>
  </conditionalFormatting>
  <conditionalFormatting sqref="AQ43">
    <cfRule type="cellIs" dxfId="564" priority="32" stopIfTrue="1" operator="lessThan">
      <formula>0</formula>
    </cfRule>
    <cfRule type="cellIs" dxfId="563" priority="33" operator="greaterThanOrEqual">
      <formula>0</formula>
    </cfRule>
  </conditionalFormatting>
  <conditionalFormatting sqref="AL42">
    <cfRule type="cellIs" dxfId="562" priority="26" stopIfTrue="1" operator="lessThan">
      <formula>1000</formula>
    </cfRule>
    <cfRule type="cellIs" dxfId="561" priority="27" stopIfTrue="1" operator="lessThan">
      <formula>1100</formula>
    </cfRule>
    <cfRule type="cellIs" dxfId="560" priority="28" stopIfTrue="1" operator="lessThan">
      <formula>9999</formula>
    </cfRule>
  </conditionalFormatting>
  <conditionalFormatting sqref="AM42">
    <cfRule type="cellIs" dxfId="559" priority="23" stopIfTrue="1" operator="lessThan">
      <formula>10000</formula>
    </cfRule>
    <cfRule type="cellIs" dxfId="558" priority="24" stopIfTrue="1" operator="lessThan">
      <formula>13000</formula>
    </cfRule>
    <cfRule type="cellIs" dxfId="557" priority="25" stopIfTrue="1" operator="lessThan">
      <formula>99999</formula>
    </cfRule>
  </conditionalFormatting>
  <conditionalFormatting sqref="AL43">
    <cfRule type="cellIs" dxfId="556" priority="20" stopIfTrue="1" operator="lessThan">
      <formula>0.05</formula>
    </cfRule>
    <cfRule type="cellIs" dxfId="555" priority="21" stopIfTrue="1" operator="lessThan">
      <formula>0.1</formula>
    </cfRule>
    <cfRule type="cellIs" dxfId="554" priority="22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18" operator="equal" id="{FCACC097-D4B4-4193-BA65-A3B2D2E5D760}">
            <xm:f>MAX('08'!$K$34,'09'!$N$34,'10'!$N$34,'11'!$N$34,$N$34)</xm:f>
            <x14:dxf/>
          </x14:cfRule>
          <x14:cfRule type="cellIs" priority="31" operator="equal" id="{42442FA6-0CAD-470B-B8AD-E97ADD2450E7}">
            <xm:f>MAX('08'!$N$34,'09'!$R$34,'10'!$R$34,$R$34)</xm:f>
            <x14:dxf/>
          </x14:cfRule>
          <xm:sqref>N34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58">
        <f>AT35+AV35</f>
        <v>7447.8700000000008</v>
      </c>
      <c r="C1" s="358"/>
      <c r="D1" s="83" t="s">
        <v>238</v>
      </c>
      <c r="E1" s="359">
        <f>AT35</f>
        <v>7159.8700000000008</v>
      </c>
      <c r="F1" s="359"/>
      <c r="G1" s="360" t="s">
        <v>152</v>
      </c>
      <c r="H1" s="360"/>
      <c r="I1" s="356">
        <f>MAX(B36,F36,J36,N36,R36,V36,Z36,AD36,AH36,AL36,AP36,AT36)</f>
        <v>133.09</v>
      </c>
      <c r="J1" s="356"/>
      <c r="K1" s="361" t="s">
        <v>159</v>
      </c>
      <c r="L1" s="361"/>
      <c r="M1" s="362">
        <f>MAX(B34,F34,J34,N34,R34,V34,Z34,AD34,AH34,AL34,AP34,AT34)</f>
        <v>919.33999999999992</v>
      </c>
      <c r="N1" s="362"/>
      <c r="O1" s="355" t="s">
        <v>190</v>
      </c>
      <c r="P1" s="355"/>
      <c r="Q1" s="355"/>
      <c r="R1" s="149">
        <f>MIN(B34,F34,J34,N34,R34,V34,Z34,AD34,AH34,AL34,AP34,AT34)</f>
        <v>235.4</v>
      </c>
      <c r="S1" s="84" t="s">
        <v>207</v>
      </c>
      <c r="T1" s="368">
        <f>IFERROR(AVERAGE(B37,F37,J37,N37,R37,V37,Z37,AD37,AH37,AL37,AP37,AT37),0)</f>
        <v>24.790436581655058</v>
      </c>
      <c r="U1" s="368"/>
      <c r="V1" s="378" t="s">
        <v>558</v>
      </c>
      <c r="W1" s="378"/>
      <c r="X1" s="378"/>
      <c r="Y1" s="378"/>
      <c r="Z1" s="378"/>
      <c r="AA1" s="85" t="s">
        <v>207</v>
      </c>
      <c r="AB1" s="357">
        <f>IFERROR(AVERAGE(C37,G37,K37,O37,S37,W37,AA37,AE37,AI37,AM37,AQ37,AU37),0)</f>
        <v>297.89439566472174</v>
      </c>
      <c r="AC1" s="357"/>
      <c r="AD1" s="367" t="s">
        <v>190</v>
      </c>
      <c r="AE1" s="367"/>
      <c r="AF1" s="370">
        <f>MIN(C34,G34,K34,O34,S34,W34,AA34,AE34,AI34,AM34,AQ34,AU34)</f>
        <v>1667</v>
      </c>
      <c r="AG1" s="370"/>
      <c r="AH1" s="371" t="s">
        <v>159</v>
      </c>
      <c r="AI1" s="371"/>
      <c r="AJ1" s="372">
        <f>MAX(C34,G34,K34,O34,S34,W34,AA34,AE34,AI34,AM34,AQ34,AU34)</f>
        <v>12660</v>
      </c>
      <c r="AK1" s="372"/>
      <c r="AL1" s="374" t="s">
        <v>153</v>
      </c>
      <c r="AM1" s="374"/>
      <c r="AN1" s="373">
        <f>MAX(C36,G36,K36,O36,S36,W36,AA36,AE36,AI36,AM36,AQ36,AU36)</f>
        <v>2480</v>
      </c>
      <c r="AO1" s="373"/>
      <c r="AP1" s="363" t="s">
        <v>361</v>
      </c>
      <c r="AQ1" s="363"/>
      <c r="AR1" s="364">
        <f>MAX(D36,H36,L36,P36,T36,X36,AB36,AF36,AJ36,AN36,AR36,AV36)</f>
        <v>8.6805555555555566E-2</v>
      </c>
      <c r="AS1" s="364"/>
      <c r="AT1" s="81" t="s">
        <v>2</v>
      </c>
      <c r="AU1" s="365">
        <f>AU35</f>
        <v>87052</v>
      </c>
      <c r="AV1" s="366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/>
      <c r="C3" s="55"/>
      <c r="D3" s="150">
        <v>2.4999999999999998E-2</v>
      </c>
      <c r="E3" s="75">
        <v>1</v>
      </c>
      <c r="F3" s="54"/>
      <c r="G3" s="55"/>
      <c r="H3" s="150"/>
      <c r="I3" s="75">
        <v>1</v>
      </c>
      <c r="J3" s="54">
        <v>12</v>
      </c>
      <c r="K3" s="55">
        <v>100</v>
      </c>
      <c r="L3" s="150"/>
      <c r="M3" s="75">
        <v>1</v>
      </c>
      <c r="N3" s="54">
        <v>27.65</v>
      </c>
      <c r="O3" s="55">
        <v>454</v>
      </c>
      <c r="P3" s="150"/>
      <c r="Q3" s="75">
        <v>1</v>
      </c>
      <c r="R3" s="54">
        <v>10.1</v>
      </c>
      <c r="S3" s="55">
        <v>306</v>
      </c>
      <c r="T3" s="150"/>
      <c r="U3" s="75">
        <v>1</v>
      </c>
      <c r="V3" s="54"/>
      <c r="W3" s="55"/>
      <c r="X3" s="150">
        <v>4.1666666666666664E-2</v>
      </c>
      <c r="Y3" s="75">
        <v>1</v>
      </c>
      <c r="Z3" s="54">
        <v>16.7</v>
      </c>
      <c r="AA3" s="55">
        <v>325</v>
      </c>
      <c r="AB3" s="150"/>
      <c r="AC3" s="75">
        <v>1</v>
      </c>
      <c r="AD3" s="54">
        <v>17.649999999999999</v>
      </c>
      <c r="AE3" s="55">
        <v>85</v>
      </c>
      <c r="AF3" s="150"/>
      <c r="AG3" s="75">
        <v>1</v>
      </c>
      <c r="AH3" s="54">
        <v>20.82</v>
      </c>
      <c r="AI3" s="55">
        <v>132</v>
      </c>
      <c r="AJ3" s="150"/>
      <c r="AK3" s="75">
        <v>1</v>
      </c>
      <c r="AL3" s="54">
        <v>14.04</v>
      </c>
      <c r="AM3" s="55">
        <v>397</v>
      </c>
      <c r="AN3" s="150"/>
      <c r="AO3" s="75">
        <v>1</v>
      </c>
      <c r="AP3" s="54">
        <v>42.269999999999996</v>
      </c>
      <c r="AQ3" s="55">
        <v>584</v>
      </c>
      <c r="AR3" s="150"/>
      <c r="AS3" s="75">
        <v>1</v>
      </c>
      <c r="AT3" s="54">
        <v>21.490000000000002</v>
      </c>
      <c r="AU3" s="55">
        <v>121</v>
      </c>
      <c r="AV3" s="150"/>
      <c r="AW3" s="67"/>
    </row>
    <row r="4" spans="1:49" s="49" customFormat="1" ht="11.25" x14ac:dyDescent="0.2">
      <c r="A4" s="73">
        <f t="shared" ref="A4:A33" si="0">A3+1</f>
        <v>2</v>
      </c>
      <c r="B4" s="54">
        <v>15</v>
      </c>
      <c r="C4" s="55">
        <v>50</v>
      </c>
      <c r="D4" s="150"/>
      <c r="E4" s="75">
        <f t="shared" ref="E4:E30" si="1">E3+1</f>
        <v>2</v>
      </c>
      <c r="F4" s="54"/>
      <c r="G4" s="55"/>
      <c r="H4" s="150"/>
      <c r="I4" s="75">
        <f t="shared" ref="I4:I33" si="2">I3+1</f>
        <v>2</v>
      </c>
      <c r="J4" s="54">
        <v>42.599999999999994</v>
      </c>
      <c r="K4" s="55">
        <v>321</v>
      </c>
      <c r="L4" s="150"/>
      <c r="M4" s="75">
        <f t="shared" ref="M4:M32" si="3">M3+1</f>
        <v>2</v>
      </c>
      <c r="N4" s="54"/>
      <c r="O4" s="55"/>
      <c r="P4" s="150"/>
      <c r="Q4" s="75">
        <f t="shared" ref="Q4:Q33" si="4">Q3+1</f>
        <v>2</v>
      </c>
      <c r="R4" s="54">
        <v>10</v>
      </c>
      <c r="S4" s="55">
        <v>100</v>
      </c>
      <c r="T4" s="150"/>
      <c r="U4" s="75">
        <f t="shared" ref="U4:U32" si="5">U3+1</f>
        <v>2</v>
      </c>
      <c r="V4" s="54">
        <v>60.399999999999991</v>
      </c>
      <c r="W4" s="55">
        <v>1130</v>
      </c>
      <c r="X4" s="150"/>
      <c r="Y4" s="75">
        <f t="shared" ref="Y4:Y33" si="6">Y3+1</f>
        <v>2</v>
      </c>
      <c r="Z4" s="54">
        <v>20.82</v>
      </c>
      <c r="AA4" s="55">
        <v>473</v>
      </c>
      <c r="AB4" s="150"/>
      <c r="AC4" s="75">
        <f t="shared" ref="AC4:AC33" si="7">AC3+1</f>
        <v>2</v>
      </c>
      <c r="AD4" s="54">
        <v>20.5</v>
      </c>
      <c r="AE4" s="55">
        <v>245</v>
      </c>
      <c r="AF4" s="150"/>
      <c r="AG4" s="75">
        <f>AG3+1</f>
        <v>2</v>
      </c>
      <c r="AH4" s="54">
        <v>56.58</v>
      </c>
      <c r="AI4" s="55">
        <v>710</v>
      </c>
      <c r="AJ4" s="150"/>
      <c r="AK4" s="75">
        <f>AK3+1</f>
        <v>2</v>
      </c>
      <c r="AL4" s="54">
        <v>15.9</v>
      </c>
      <c r="AM4" s="55">
        <v>359</v>
      </c>
      <c r="AN4" s="150"/>
      <c r="AO4" s="75">
        <f>AO3+1</f>
        <v>2</v>
      </c>
      <c r="AP4" s="54">
        <v>30.6</v>
      </c>
      <c r="AQ4" s="55">
        <v>140</v>
      </c>
      <c r="AR4" s="150"/>
      <c r="AS4" s="75">
        <f>AS3+1</f>
        <v>2</v>
      </c>
      <c r="AT4" s="54">
        <v>16.2</v>
      </c>
      <c r="AU4" s="55">
        <v>262</v>
      </c>
      <c r="AV4" s="150"/>
      <c r="AW4" s="67"/>
    </row>
    <row r="5" spans="1:49" s="49" customFormat="1" ht="11.25" x14ac:dyDescent="0.2">
      <c r="A5" s="73">
        <f t="shared" si="0"/>
        <v>3</v>
      </c>
      <c r="B5" s="54">
        <v>15.86</v>
      </c>
      <c r="C5" s="55">
        <v>30</v>
      </c>
      <c r="D5" s="150"/>
      <c r="E5" s="75">
        <f t="shared" si="1"/>
        <v>3</v>
      </c>
      <c r="F5" s="54"/>
      <c r="G5" s="55"/>
      <c r="H5" s="150"/>
      <c r="I5" s="75">
        <f t="shared" si="2"/>
        <v>3</v>
      </c>
      <c r="J5" s="54">
        <v>62.3</v>
      </c>
      <c r="K5" s="55">
        <v>520</v>
      </c>
      <c r="L5" s="150"/>
      <c r="M5" s="75">
        <f t="shared" si="3"/>
        <v>3</v>
      </c>
      <c r="N5" s="54">
        <v>15.64</v>
      </c>
      <c r="O5" s="55">
        <v>20</v>
      </c>
      <c r="P5" s="150"/>
      <c r="Q5" s="75">
        <f t="shared" si="4"/>
        <v>3</v>
      </c>
      <c r="R5" s="54">
        <v>16.940000000000001</v>
      </c>
      <c r="S5" s="55">
        <v>365</v>
      </c>
      <c r="T5" s="150"/>
      <c r="U5" s="75">
        <f t="shared" si="5"/>
        <v>3</v>
      </c>
      <c r="V5" s="54">
        <v>19</v>
      </c>
      <c r="W5" s="55">
        <v>172</v>
      </c>
      <c r="X5" s="150"/>
      <c r="Y5" s="75">
        <f t="shared" si="6"/>
        <v>3</v>
      </c>
      <c r="Z5" s="54">
        <v>5.8</v>
      </c>
      <c r="AA5" s="55">
        <v>23</v>
      </c>
      <c r="AB5" s="150"/>
      <c r="AC5" s="75">
        <f t="shared" si="7"/>
        <v>3</v>
      </c>
      <c r="AD5" s="54">
        <v>44.76</v>
      </c>
      <c r="AE5" s="55">
        <v>523</v>
      </c>
      <c r="AF5" s="150"/>
      <c r="AG5" s="75">
        <f t="shared" ref="AG5:AG32" si="8">AG4+1</f>
        <v>3</v>
      </c>
      <c r="AH5" s="54">
        <v>47.2</v>
      </c>
      <c r="AI5" s="55">
        <v>1310</v>
      </c>
      <c r="AJ5" s="150"/>
      <c r="AK5" s="75">
        <f t="shared" ref="AK5:AK33" si="9">AK4+1</f>
        <v>3</v>
      </c>
      <c r="AL5" s="54">
        <v>65.8</v>
      </c>
      <c r="AM5" s="55">
        <v>835</v>
      </c>
      <c r="AN5" s="150"/>
      <c r="AO5" s="75">
        <f t="shared" ref="AO5:AO32" si="10">AO4+1</f>
        <v>3</v>
      </c>
      <c r="AP5" s="54">
        <v>26.259999999999998</v>
      </c>
      <c r="AQ5" s="55">
        <v>143</v>
      </c>
      <c r="AR5" s="150"/>
      <c r="AS5" s="75">
        <f t="shared" ref="AS5:AS33" si="11">AS4+1</f>
        <v>3</v>
      </c>
      <c r="AT5" s="54">
        <v>15.71</v>
      </c>
      <c r="AU5" s="55">
        <v>105</v>
      </c>
      <c r="AV5" s="150"/>
      <c r="AW5" s="67"/>
    </row>
    <row r="6" spans="1:49" s="49" customFormat="1" ht="11.25" x14ac:dyDescent="0.2">
      <c r="A6" s="73">
        <f t="shared" si="0"/>
        <v>4</v>
      </c>
      <c r="B6" s="54"/>
      <c r="C6" s="55"/>
      <c r="D6" s="150"/>
      <c r="E6" s="75">
        <f t="shared" si="1"/>
        <v>4</v>
      </c>
      <c r="F6" s="54"/>
      <c r="G6" s="55"/>
      <c r="H6" s="150"/>
      <c r="I6" s="75">
        <f t="shared" si="2"/>
        <v>4</v>
      </c>
      <c r="J6" s="54">
        <v>14.2</v>
      </c>
      <c r="K6" s="55">
        <v>165</v>
      </c>
      <c r="L6" s="150"/>
      <c r="M6" s="75">
        <f t="shared" si="3"/>
        <v>4</v>
      </c>
      <c r="N6" s="54">
        <v>18.8</v>
      </c>
      <c r="O6" s="55">
        <v>120</v>
      </c>
      <c r="P6" s="150"/>
      <c r="Q6" s="75">
        <f t="shared" si="4"/>
        <v>4</v>
      </c>
      <c r="R6" s="54"/>
      <c r="S6" s="55"/>
      <c r="T6" s="150">
        <v>2.8472222222222222E-2</v>
      </c>
      <c r="U6" s="75">
        <f t="shared" si="5"/>
        <v>4</v>
      </c>
      <c r="V6" s="54">
        <v>21</v>
      </c>
      <c r="W6" s="55">
        <v>150</v>
      </c>
      <c r="X6" s="150"/>
      <c r="Y6" s="75">
        <f t="shared" si="6"/>
        <v>4</v>
      </c>
      <c r="Z6" s="54"/>
      <c r="AA6" s="55"/>
      <c r="AB6" s="150">
        <v>8.6805555555555566E-2</v>
      </c>
      <c r="AC6" s="75">
        <f t="shared" si="7"/>
        <v>4</v>
      </c>
      <c r="AD6" s="54">
        <v>16.850000000000001</v>
      </c>
      <c r="AE6" s="55">
        <v>536</v>
      </c>
      <c r="AF6" s="150"/>
      <c r="AG6" s="75">
        <f t="shared" si="8"/>
        <v>4</v>
      </c>
      <c r="AH6" s="54">
        <v>85.45</v>
      </c>
      <c r="AI6" s="55">
        <v>1110</v>
      </c>
      <c r="AJ6" s="150"/>
      <c r="AK6" s="75">
        <f t="shared" si="9"/>
        <v>4</v>
      </c>
      <c r="AL6" s="54">
        <v>6.7</v>
      </c>
      <c r="AM6" s="55">
        <v>38</v>
      </c>
      <c r="AN6" s="150"/>
      <c r="AO6" s="75">
        <f t="shared" si="10"/>
        <v>4</v>
      </c>
      <c r="AP6" s="54">
        <v>11.889999999999999</v>
      </c>
      <c r="AQ6" s="55">
        <v>44</v>
      </c>
      <c r="AR6" s="150"/>
      <c r="AS6" s="75">
        <f t="shared" si="11"/>
        <v>4</v>
      </c>
      <c r="AT6" s="54">
        <v>15.370000000000001</v>
      </c>
      <c r="AU6" s="55">
        <v>64</v>
      </c>
      <c r="AV6" s="150"/>
      <c r="AW6" s="67"/>
    </row>
    <row r="7" spans="1:49" s="49" customFormat="1" ht="11.25" x14ac:dyDescent="0.2">
      <c r="A7" s="73">
        <f t="shared" si="0"/>
        <v>5</v>
      </c>
      <c r="B7" s="54">
        <v>30.700000000000003</v>
      </c>
      <c r="C7" s="55">
        <v>389</v>
      </c>
      <c r="D7" s="150"/>
      <c r="E7" s="75">
        <f t="shared" si="1"/>
        <v>5</v>
      </c>
      <c r="F7" s="54">
        <v>12</v>
      </c>
      <c r="G7" s="55">
        <v>80</v>
      </c>
      <c r="H7" s="150"/>
      <c r="I7" s="75">
        <f t="shared" si="2"/>
        <v>5</v>
      </c>
      <c r="J7" s="54">
        <v>24.17</v>
      </c>
      <c r="K7" s="55">
        <v>93</v>
      </c>
      <c r="L7" s="150"/>
      <c r="M7" s="75">
        <f t="shared" si="3"/>
        <v>5</v>
      </c>
      <c r="N7" s="54">
        <v>21.97</v>
      </c>
      <c r="O7" s="55">
        <v>191</v>
      </c>
      <c r="P7" s="150"/>
      <c r="Q7" s="75">
        <f t="shared" si="4"/>
        <v>5</v>
      </c>
      <c r="R7" s="54">
        <v>46.580000000000005</v>
      </c>
      <c r="S7" s="55">
        <v>731</v>
      </c>
      <c r="T7" s="150"/>
      <c r="U7" s="75">
        <f t="shared" si="5"/>
        <v>5</v>
      </c>
      <c r="V7" s="54">
        <v>18.399999999999999</v>
      </c>
      <c r="W7" s="55">
        <v>380</v>
      </c>
      <c r="X7" s="150"/>
      <c r="Y7" s="75">
        <f t="shared" si="6"/>
        <v>5</v>
      </c>
      <c r="Z7" s="54">
        <v>15.71</v>
      </c>
      <c r="AA7" s="55">
        <v>345</v>
      </c>
      <c r="AB7" s="150"/>
      <c r="AC7" s="75">
        <f t="shared" si="7"/>
        <v>5</v>
      </c>
      <c r="AD7" s="54">
        <v>14.6</v>
      </c>
      <c r="AE7" s="55">
        <v>30</v>
      </c>
      <c r="AF7" s="150"/>
      <c r="AG7" s="75">
        <f t="shared" si="8"/>
        <v>5</v>
      </c>
      <c r="AH7" s="54">
        <v>53.300000000000004</v>
      </c>
      <c r="AI7" s="55">
        <v>640</v>
      </c>
      <c r="AJ7" s="150"/>
      <c r="AK7" s="75">
        <f t="shared" si="9"/>
        <v>5</v>
      </c>
      <c r="AL7" s="54">
        <v>38.700000000000003</v>
      </c>
      <c r="AM7" s="55">
        <v>90</v>
      </c>
      <c r="AN7" s="150"/>
      <c r="AO7" s="75">
        <f t="shared" si="10"/>
        <v>5</v>
      </c>
      <c r="AP7" s="54">
        <v>15.91</v>
      </c>
      <c r="AQ7" s="55">
        <v>104</v>
      </c>
      <c r="AR7" s="150"/>
      <c r="AS7" s="75">
        <f t="shared" si="11"/>
        <v>5</v>
      </c>
      <c r="AT7" s="54">
        <v>10.4</v>
      </c>
      <c r="AU7" s="55">
        <v>50</v>
      </c>
      <c r="AV7" s="150"/>
      <c r="AW7" s="67"/>
    </row>
    <row r="8" spans="1:49" s="49" customFormat="1" ht="11.25" x14ac:dyDescent="0.2">
      <c r="A8" s="73">
        <f t="shared" si="0"/>
        <v>6</v>
      </c>
      <c r="B8" s="54">
        <v>37.299999999999997</v>
      </c>
      <c r="C8" s="55">
        <v>270</v>
      </c>
      <c r="D8" s="150"/>
      <c r="E8" s="75">
        <f t="shared" si="1"/>
        <v>6</v>
      </c>
      <c r="F8" s="54"/>
      <c r="G8" s="55"/>
      <c r="H8" s="150"/>
      <c r="I8" s="75">
        <f t="shared" si="2"/>
        <v>6</v>
      </c>
      <c r="J8" s="54">
        <v>27.72</v>
      </c>
      <c r="K8" s="55">
        <v>484</v>
      </c>
      <c r="L8" s="150"/>
      <c r="M8" s="75">
        <f t="shared" si="3"/>
        <v>6</v>
      </c>
      <c r="N8" s="54"/>
      <c r="O8" s="55"/>
      <c r="P8" s="150"/>
      <c r="Q8" s="75">
        <f t="shared" si="4"/>
        <v>6</v>
      </c>
      <c r="R8" s="54">
        <v>11.5</v>
      </c>
      <c r="S8" s="55">
        <v>75</v>
      </c>
      <c r="T8" s="150"/>
      <c r="U8" s="75">
        <f t="shared" si="5"/>
        <v>6</v>
      </c>
      <c r="V8" s="54">
        <v>15.86</v>
      </c>
      <c r="W8" s="55">
        <v>30</v>
      </c>
      <c r="X8" s="150"/>
      <c r="Y8" s="75">
        <f t="shared" si="6"/>
        <v>6</v>
      </c>
      <c r="Z8" s="54">
        <v>100.98</v>
      </c>
      <c r="AA8" s="55">
        <v>1141</v>
      </c>
      <c r="AB8" s="150"/>
      <c r="AC8" s="75">
        <f t="shared" si="7"/>
        <v>6</v>
      </c>
      <c r="AD8" s="54">
        <v>23.9</v>
      </c>
      <c r="AE8" s="55">
        <v>325</v>
      </c>
      <c r="AF8" s="150"/>
      <c r="AG8" s="75">
        <f t="shared" si="8"/>
        <v>6</v>
      </c>
      <c r="AH8" s="54">
        <v>51</v>
      </c>
      <c r="AI8" s="55">
        <v>875</v>
      </c>
      <c r="AJ8" s="150"/>
      <c r="AK8" s="75">
        <f t="shared" si="9"/>
        <v>6</v>
      </c>
      <c r="AL8" s="54">
        <v>37.400000000000006</v>
      </c>
      <c r="AM8" s="55">
        <v>173</v>
      </c>
      <c r="AN8" s="150">
        <v>3.5416666666666666E-2</v>
      </c>
      <c r="AO8" s="75">
        <f t="shared" si="10"/>
        <v>6</v>
      </c>
      <c r="AP8" s="54">
        <v>15.27</v>
      </c>
      <c r="AQ8" s="55">
        <v>245</v>
      </c>
      <c r="AR8" s="150"/>
      <c r="AS8" s="75">
        <f t="shared" si="11"/>
        <v>6</v>
      </c>
      <c r="AT8" s="54">
        <v>15.1</v>
      </c>
      <c r="AU8" s="55">
        <v>55</v>
      </c>
      <c r="AV8" s="150"/>
      <c r="AW8" s="67"/>
    </row>
    <row r="9" spans="1:49" s="49" customFormat="1" ht="11.25" x14ac:dyDescent="0.2">
      <c r="A9" s="73">
        <f t="shared" si="0"/>
        <v>7</v>
      </c>
      <c r="B9" s="54">
        <v>14.5</v>
      </c>
      <c r="C9" s="55">
        <v>10</v>
      </c>
      <c r="D9" s="150"/>
      <c r="E9" s="75">
        <f t="shared" si="1"/>
        <v>7</v>
      </c>
      <c r="F9" s="54"/>
      <c r="G9" s="55"/>
      <c r="H9" s="150">
        <v>4.1666666666666664E-2</v>
      </c>
      <c r="I9" s="75">
        <f t="shared" si="2"/>
        <v>7</v>
      </c>
      <c r="J9" s="54">
        <v>17.64</v>
      </c>
      <c r="K9" s="55">
        <v>58</v>
      </c>
      <c r="L9" s="150"/>
      <c r="M9" s="75">
        <f t="shared" si="3"/>
        <v>7</v>
      </c>
      <c r="N9" s="54"/>
      <c r="O9" s="55"/>
      <c r="P9" s="150"/>
      <c r="Q9" s="75">
        <f t="shared" si="4"/>
        <v>7</v>
      </c>
      <c r="R9" s="54"/>
      <c r="S9" s="55"/>
      <c r="T9" s="150"/>
      <c r="U9" s="75">
        <f t="shared" si="5"/>
        <v>7</v>
      </c>
      <c r="V9" s="54">
        <v>15.27</v>
      </c>
      <c r="W9" s="55">
        <v>520</v>
      </c>
      <c r="X9" s="150"/>
      <c r="Y9" s="75">
        <f t="shared" si="6"/>
        <v>7</v>
      </c>
      <c r="Z9" s="54">
        <v>63.5</v>
      </c>
      <c r="AA9" s="55">
        <v>648</v>
      </c>
      <c r="AB9" s="150"/>
      <c r="AC9" s="75">
        <f t="shared" si="7"/>
        <v>7</v>
      </c>
      <c r="AD9" s="54">
        <v>31.85</v>
      </c>
      <c r="AE9" s="55">
        <v>438</v>
      </c>
      <c r="AF9" s="150"/>
      <c r="AG9" s="75">
        <f t="shared" si="8"/>
        <v>7</v>
      </c>
      <c r="AH9" s="54">
        <v>14.2</v>
      </c>
      <c r="AI9" s="55">
        <v>40</v>
      </c>
      <c r="AJ9" s="150"/>
      <c r="AK9" s="75">
        <f t="shared" si="9"/>
        <v>7</v>
      </c>
      <c r="AL9" s="54">
        <v>26.78</v>
      </c>
      <c r="AM9" s="55">
        <v>425</v>
      </c>
      <c r="AN9" s="150"/>
      <c r="AO9" s="75">
        <f t="shared" si="10"/>
        <v>7</v>
      </c>
      <c r="AP9" s="54">
        <v>13.58</v>
      </c>
      <c r="AQ9" s="55">
        <v>58</v>
      </c>
      <c r="AR9" s="150"/>
      <c r="AS9" s="75">
        <f t="shared" si="11"/>
        <v>7</v>
      </c>
      <c r="AT9" s="54">
        <v>24.66</v>
      </c>
      <c r="AU9" s="55">
        <v>25</v>
      </c>
      <c r="AV9" s="150"/>
      <c r="AW9" s="67"/>
    </row>
    <row r="10" spans="1:49" s="49" customFormat="1" ht="11.25" x14ac:dyDescent="0.2">
      <c r="A10" s="73">
        <f t="shared" si="0"/>
        <v>8</v>
      </c>
      <c r="B10" s="54">
        <v>10.1</v>
      </c>
      <c r="C10" s="55">
        <v>65</v>
      </c>
      <c r="D10" s="150"/>
      <c r="E10" s="75">
        <f t="shared" si="1"/>
        <v>8</v>
      </c>
      <c r="F10" s="54">
        <v>12.7</v>
      </c>
      <c r="G10" s="55">
        <v>90</v>
      </c>
      <c r="H10" s="150"/>
      <c r="I10" s="75">
        <f t="shared" si="2"/>
        <v>8</v>
      </c>
      <c r="J10" s="54">
        <v>14.3</v>
      </c>
      <c r="K10" s="55">
        <v>120</v>
      </c>
      <c r="L10" s="150"/>
      <c r="M10" s="75">
        <f t="shared" si="3"/>
        <v>8</v>
      </c>
      <c r="N10" s="54">
        <v>18.8</v>
      </c>
      <c r="O10" s="55">
        <v>75</v>
      </c>
      <c r="P10" s="150"/>
      <c r="Q10" s="75">
        <f t="shared" si="4"/>
        <v>8</v>
      </c>
      <c r="R10" s="54"/>
      <c r="S10" s="55"/>
      <c r="T10" s="150">
        <v>2.2222222222222223E-2</v>
      </c>
      <c r="U10" s="75">
        <f t="shared" si="5"/>
        <v>8</v>
      </c>
      <c r="V10" s="54"/>
      <c r="W10" s="55"/>
      <c r="X10" s="150"/>
      <c r="Y10" s="75">
        <f t="shared" si="6"/>
        <v>8</v>
      </c>
      <c r="Z10" s="54">
        <v>19</v>
      </c>
      <c r="AA10" s="55">
        <v>425</v>
      </c>
      <c r="AB10" s="150"/>
      <c r="AC10" s="75">
        <f t="shared" si="7"/>
        <v>8</v>
      </c>
      <c r="AD10" s="54">
        <v>11.5</v>
      </c>
      <c r="AE10" s="55">
        <v>53</v>
      </c>
      <c r="AF10" s="150"/>
      <c r="AG10" s="75">
        <f t="shared" si="8"/>
        <v>8</v>
      </c>
      <c r="AH10" s="54">
        <v>21.9</v>
      </c>
      <c r="AI10" s="49">
        <v>80</v>
      </c>
      <c r="AJ10" s="150"/>
      <c r="AK10" s="75">
        <f t="shared" si="9"/>
        <v>8</v>
      </c>
      <c r="AL10" s="54">
        <v>14.91</v>
      </c>
      <c r="AM10" s="55">
        <v>97</v>
      </c>
      <c r="AN10" s="150"/>
      <c r="AO10" s="75">
        <f t="shared" si="10"/>
        <v>8</v>
      </c>
      <c r="AP10" s="54">
        <v>18.7</v>
      </c>
      <c r="AQ10" s="55">
        <v>60</v>
      </c>
      <c r="AR10" s="150"/>
      <c r="AS10" s="75">
        <f t="shared" si="11"/>
        <v>8</v>
      </c>
      <c r="AT10" s="54">
        <v>60.21</v>
      </c>
      <c r="AU10" s="55">
        <v>510</v>
      </c>
      <c r="AV10" s="150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50"/>
      <c r="E11" s="75">
        <f t="shared" si="1"/>
        <v>9</v>
      </c>
      <c r="F11" s="54">
        <v>11.7</v>
      </c>
      <c r="G11" s="55">
        <v>100</v>
      </c>
      <c r="H11" s="150">
        <v>2.4999999999999998E-2</v>
      </c>
      <c r="I11" s="75">
        <f t="shared" si="2"/>
        <v>9</v>
      </c>
      <c r="J11" s="54">
        <v>28.4</v>
      </c>
      <c r="K11" s="55">
        <v>215</v>
      </c>
      <c r="L11" s="150"/>
      <c r="M11" s="75">
        <f t="shared" si="3"/>
        <v>9</v>
      </c>
      <c r="N11" s="54"/>
      <c r="O11" s="55"/>
      <c r="P11" s="150"/>
      <c r="Q11" s="75">
        <f t="shared" si="4"/>
        <v>9</v>
      </c>
      <c r="R11" s="54"/>
      <c r="S11" s="55"/>
      <c r="T11" s="150"/>
      <c r="U11" s="75">
        <f t="shared" si="5"/>
        <v>9</v>
      </c>
      <c r="V11" s="54">
        <v>96.21</v>
      </c>
      <c r="W11" s="55">
        <v>1232</v>
      </c>
      <c r="X11" s="150"/>
      <c r="Y11" s="75">
        <f t="shared" si="6"/>
        <v>9</v>
      </c>
      <c r="Z11" s="54">
        <v>11.4</v>
      </c>
      <c r="AA11" s="55">
        <v>68</v>
      </c>
      <c r="AB11" s="150"/>
      <c r="AC11" s="75">
        <f t="shared" si="7"/>
        <v>9</v>
      </c>
      <c r="AD11" s="54">
        <v>15.71</v>
      </c>
      <c r="AE11" s="55">
        <v>345</v>
      </c>
      <c r="AF11" s="150"/>
      <c r="AG11" s="75">
        <f t="shared" si="8"/>
        <v>9</v>
      </c>
      <c r="AH11" s="54">
        <v>39.47</v>
      </c>
      <c r="AI11" s="55">
        <v>244</v>
      </c>
      <c r="AJ11" s="150"/>
      <c r="AK11" s="75">
        <f t="shared" si="9"/>
        <v>9</v>
      </c>
      <c r="AL11" s="54">
        <v>19.5</v>
      </c>
      <c r="AM11" s="55">
        <v>450</v>
      </c>
      <c r="AN11" s="150"/>
      <c r="AO11" s="75">
        <f t="shared" si="10"/>
        <v>9</v>
      </c>
      <c r="AP11" s="54">
        <v>28.91</v>
      </c>
      <c r="AQ11" s="55">
        <v>163</v>
      </c>
      <c r="AR11" s="150"/>
      <c r="AS11" s="75">
        <f t="shared" si="11"/>
        <v>9</v>
      </c>
      <c r="AT11" s="54">
        <v>8.6100000000000012</v>
      </c>
      <c r="AU11" s="55">
        <v>35</v>
      </c>
      <c r="AV11" s="150"/>
      <c r="AW11" s="67"/>
    </row>
    <row r="12" spans="1:49" s="49" customFormat="1" ht="11.25" x14ac:dyDescent="0.2">
      <c r="A12" s="73">
        <f t="shared" si="0"/>
        <v>10</v>
      </c>
      <c r="B12" s="54">
        <v>11.1</v>
      </c>
      <c r="C12" s="55">
        <v>65</v>
      </c>
      <c r="D12" s="150"/>
      <c r="E12" s="75">
        <f t="shared" si="1"/>
        <v>10</v>
      </c>
      <c r="F12" s="54">
        <v>36.299999999999997</v>
      </c>
      <c r="G12" s="55">
        <v>446</v>
      </c>
      <c r="H12" s="150"/>
      <c r="I12" s="75">
        <f t="shared" si="2"/>
        <v>10</v>
      </c>
      <c r="J12" s="54">
        <v>32.72</v>
      </c>
      <c r="K12" s="55">
        <v>88</v>
      </c>
      <c r="L12" s="150"/>
      <c r="M12" s="75">
        <f t="shared" si="3"/>
        <v>10</v>
      </c>
      <c r="N12" s="54">
        <v>22.3</v>
      </c>
      <c r="O12" s="55">
        <v>75</v>
      </c>
      <c r="P12" s="150"/>
      <c r="Q12" s="75">
        <f t="shared" si="4"/>
        <v>10</v>
      </c>
      <c r="R12" s="54"/>
      <c r="S12" s="55"/>
      <c r="T12" s="150"/>
      <c r="U12" s="75">
        <f t="shared" si="5"/>
        <v>10</v>
      </c>
      <c r="V12" s="54"/>
      <c r="W12" s="55"/>
      <c r="X12" s="150"/>
      <c r="Y12" s="75">
        <f t="shared" si="6"/>
        <v>10</v>
      </c>
      <c r="Z12" s="54">
        <v>19</v>
      </c>
      <c r="AA12" s="55">
        <v>425</v>
      </c>
      <c r="AB12" s="150"/>
      <c r="AC12" s="75">
        <f t="shared" si="7"/>
        <v>10</v>
      </c>
      <c r="AD12" s="54">
        <v>54.06</v>
      </c>
      <c r="AE12" s="55">
        <v>600</v>
      </c>
      <c r="AF12" s="150"/>
      <c r="AG12" s="75">
        <f t="shared" si="8"/>
        <v>10</v>
      </c>
      <c r="AH12" s="54">
        <v>31.63</v>
      </c>
      <c r="AI12" s="49">
        <v>605</v>
      </c>
      <c r="AJ12" s="150"/>
      <c r="AK12" s="75">
        <f t="shared" si="9"/>
        <v>10</v>
      </c>
      <c r="AL12" s="54">
        <v>6.5500000000000007</v>
      </c>
      <c r="AM12" s="55">
        <v>38</v>
      </c>
      <c r="AN12" s="150"/>
      <c r="AO12" s="75">
        <f t="shared" si="10"/>
        <v>10</v>
      </c>
      <c r="AP12" s="54">
        <v>11</v>
      </c>
      <c r="AQ12" s="55">
        <v>25</v>
      </c>
      <c r="AR12" s="150"/>
      <c r="AS12" s="75">
        <f t="shared" si="11"/>
        <v>10</v>
      </c>
      <c r="AT12" s="54">
        <v>14.72</v>
      </c>
      <c r="AU12" s="55">
        <v>70</v>
      </c>
      <c r="AV12" s="150"/>
      <c r="AW12" s="67"/>
    </row>
    <row r="13" spans="1:49" s="49" customFormat="1" ht="11.25" x14ac:dyDescent="0.2">
      <c r="A13" s="73">
        <f t="shared" si="0"/>
        <v>11</v>
      </c>
      <c r="B13" s="54">
        <v>10.199999999999999</v>
      </c>
      <c r="C13" s="55">
        <v>65</v>
      </c>
      <c r="D13" s="150"/>
      <c r="E13" s="75">
        <f t="shared" si="1"/>
        <v>11</v>
      </c>
      <c r="F13" s="54">
        <v>12</v>
      </c>
      <c r="G13" s="55">
        <v>60</v>
      </c>
      <c r="H13" s="150"/>
      <c r="I13" s="75">
        <f t="shared" si="2"/>
        <v>11</v>
      </c>
      <c r="J13" s="54">
        <v>10</v>
      </c>
      <c r="K13" s="55">
        <v>100</v>
      </c>
      <c r="L13" s="150"/>
      <c r="M13" s="75">
        <f t="shared" si="3"/>
        <v>11</v>
      </c>
      <c r="N13" s="54"/>
      <c r="O13" s="55"/>
      <c r="P13" s="150"/>
      <c r="Q13" s="75">
        <f t="shared" si="4"/>
        <v>11</v>
      </c>
      <c r="R13" s="54"/>
      <c r="S13" s="55"/>
      <c r="T13" s="150"/>
      <c r="U13" s="75">
        <f t="shared" si="5"/>
        <v>11</v>
      </c>
      <c r="V13" s="54">
        <v>15.3</v>
      </c>
      <c r="W13" s="55">
        <v>265</v>
      </c>
      <c r="X13" s="150"/>
      <c r="Y13" s="75">
        <f t="shared" si="6"/>
        <v>11</v>
      </c>
      <c r="Z13" s="54">
        <v>21.3</v>
      </c>
      <c r="AA13" s="55">
        <v>365</v>
      </c>
      <c r="AB13" s="150"/>
      <c r="AC13" s="75">
        <f t="shared" si="7"/>
        <v>11</v>
      </c>
      <c r="AD13" s="54">
        <v>38.700000000000003</v>
      </c>
      <c r="AE13" s="55">
        <v>587</v>
      </c>
      <c r="AF13" s="150"/>
      <c r="AG13" s="75">
        <f t="shared" si="8"/>
        <v>11</v>
      </c>
      <c r="AH13" s="54">
        <v>41.1</v>
      </c>
      <c r="AI13" s="55">
        <v>120</v>
      </c>
      <c r="AJ13" s="150"/>
      <c r="AK13" s="75">
        <f t="shared" si="9"/>
        <v>11</v>
      </c>
      <c r="AL13" s="54">
        <v>12.5</v>
      </c>
      <c r="AM13" s="55">
        <v>35</v>
      </c>
      <c r="AN13" s="150"/>
      <c r="AO13" s="75">
        <f t="shared" si="10"/>
        <v>11</v>
      </c>
      <c r="AP13" s="54">
        <v>13.299999999999999</v>
      </c>
      <c r="AQ13" s="55">
        <v>52</v>
      </c>
      <c r="AR13" s="150"/>
      <c r="AS13" s="75">
        <f t="shared" si="11"/>
        <v>11</v>
      </c>
      <c r="AT13" s="54">
        <v>20</v>
      </c>
      <c r="AU13" s="55">
        <v>120</v>
      </c>
      <c r="AV13" s="150"/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50"/>
      <c r="E14" s="75">
        <f t="shared" si="1"/>
        <v>12</v>
      </c>
      <c r="F14" s="54"/>
      <c r="G14" s="55"/>
      <c r="H14" s="150"/>
      <c r="I14" s="75">
        <f t="shared" si="2"/>
        <v>12</v>
      </c>
      <c r="J14" s="54"/>
      <c r="K14" s="55"/>
      <c r="L14" s="150">
        <v>2.0833333333333332E-2</v>
      </c>
      <c r="M14" s="75">
        <f t="shared" si="3"/>
        <v>12</v>
      </c>
      <c r="N14" s="54">
        <v>21.42</v>
      </c>
      <c r="O14" s="55">
        <v>166</v>
      </c>
      <c r="P14" s="150"/>
      <c r="Q14" s="75">
        <f t="shared" si="4"/>
        <v>12</v>
      </c>
      <c r="R14" s="54"/>
      <c r="S14" s="55"/>
      <c r="T14" s="150"/>
      <c r="U14" s="75">
        <f t="shared" si="5"/>
        <v>12</v>
      </c>
      <c r="V14" s="54">
        <v>22.29</v>
      </c>
      <c r="W14" s="55">
        <v>400</v>
      </c>
      <c r="X14" s="150"/>
      <c r="Y14" s="75">
        <f t="shared" si="6"/>
        <v>12</v>
      </c>
      <c r="Z14" s="54">
        <v>15.33</v>
      </c>
      <c r="AA14" s="55">
        <v>392</v>
      </c>
      <c r="AB14" s="150"/>
      <c r="AC14" s="75">
        <f t="shared" si="7"/>
        <v>12</v>
      </c>
      <c r="AD14" s="54">
        <v>11</v>
      </c>
      <c r="AE14" s="78">
        <v>30</v>
      </c>
      <c r="AF14" s="150"/>
      <c r="AG14" s="75">
        <f t="shared" si="8"/>
        <v>12</v>
      </c>
      <c r="AH14" s="54">
        <v>7.8</v>
      </c>
      <c r="AI14" s="55">
        <v>5</v>
      </c>
      <c r="AJ14" s="150"/>
      <c r="AK14" s="75">
        <f t="shared" si="9"/>
        <v>12</v>
      </c>
      <c r="AL14" s="54">
        <v>9.86</v>
      </c>
      <c r="AM14" s="55">
        <v>58</v>
      </c>
      <c r="AN14" s="150"/>
      <c r="AO14" s="75">
        <f t="shared" si="10"/>
        <v>12</v>
      </c>
      <c r="AP14" s="54">
        <v>15.71</v>
      </c>
      <c r="AQ14" s="55">
        <v>345</v>
      </c>
      <c r="AR14" s="150"/>
      <c r="AS14" s="75">
        <f t="shared" si="11"/>
        <v>12</v>
      </c>
      <c r="AT14" s="54">
        <v>8.98</v>
      </c>
      <c r="AU14" s="55">
        <v>37</v>
      </c>
      <c r="AV14" s="150"/>
      <c r="AW14" s="67"/>
    </row>
    <row r="15" spans="1:49" s="49" customFormat="1" ht="11.25" x14ac:dyDescent="0.2">
      <c r="A15" s="73">
        <f t="shared" si="0"/>
        <v>13</v>
      </c>
      <c r="B15" s="54">
        <v>19</v>
      </c>
      <c r="C15" s="55">
        <v>400</v>
      </c>
      <c r="D15" s="150"/>
      <c r="E15" s="75">
        <f t="shared" si="1"/>
        <v>13</v>
      </c>
      <c r="F15" s="54">
        <v>17.600000000000001</v>
      </c>
      <c r="G15" s="55">
        <v>189</v>
      </c>
      <c r="H15" s="150"/>
      <c r="I15" s="75">
        <f t="shared" si="2"/>
        <v>13</v>
      </c>
      <c r="J15" s="54"/>
      <c r="K15" s="55"/>
      <c r="L15" s="150"/>
      <c r="M15" s="75">
        <f t="shared" si="3"/>
        <v>13</v>
      </c>
      <c r="N15" s="54"/>
      <c r="O15" s="55"/>
      <c r="P15" s="150"/>
      <c r="Q15" s="75">
        <f t="shared" si="4"/>
        <v>13</v>
      </c>
      <c r="R15" s="54"/>
      <c r="S15" s="55"/>
      <c r="T15" s="150"/>
      <c r="U15" s="75">
        <f t="shared" si="5"/>
        <v>13</v>
      </c>
      <c r="V15" s="54">
        <v>10.7</v>
      </c>
      <c r="W15" s="55">
        <v>75</v>
      </c>
      <c r="X15" s="150"/>
      <c r="Y15" s="75">
        <f t="shared" si="6"/>
        <v>13</v>
      </c>
      <c r="Z15" s="54">
        <v>85.6</v>
      </c>
      <c r="AA15" s="55">
        <v>2480</v>
      </c>
      <c r="AB15" s="150"/>
      <c r="AC15" s="75">
        <f t="shared" si="7"/>
        <v>13</v>
      </c>
      <c r="AD15" s="54">
        <v>13.9</v>
      </c>
      <c r="AE15" s="55">
        <v>285</v>
      </c>
      <c r="AF15" s="150"/>
      <c r="AG15" s="75">
        <f t="shared" si="8"/>
        <v>13</v>
      </c>
      <c r="AH15" s="54">
        <v>12.120000000000001</v>
      </c>
      <c r="AI15" s="55">
        <v>60</v>
      </c>
      <c r="AJ15" s="150"/>
      <c r="AK15" s="75">
        <f t="shared" si="9"/>
        <v>13</v>
      </c>
      <c r="AL15" s="54">
        <v>35.809999999999995</v>
      </c>
      <c r="AM15" s="55">
        <v>300</v>
      </c>
      <c r="AN15" s="150"/>
      <c r="AO15" s="75">
        <f t="shared" si="10"/>
        <v>13</v>
      </c>
      <c r="AP15" s="54">
        <v>12.93</v>
      </c>
      <c r="AQ15" s="55">
        <v>54</v>
      </c>
      <c r="AR15" s="150"/>
      <c r="AS15" s="75">
        <f t="shared" si="11"/>
        <v>13</v>
      </c>
      <c r="AT15" s="54"/>
      <c r="AU15" s="55"/>
      <c r="AV15" s="150"/>
      <c r="AW15" s="67"/>
    </row>
    <row r="16" spans="1:49" s="49" customFormat="1" ht="11.25" x14ac:dyDescent="0.2">
      <c r="A16" s="73">
        <f t="shared" si="0"/>
        <v>14</v>
      </c>
      <c r="B16" s="54">
        <v>20</v>
      </c>
      <c r="C16" s="55">
        <v>600</v>
      </c>
      <c r="D16" s="150"/>
      <c r="E16" s="75">
        <f t="shared" si="1"/>
        <v>14</v>
      </c>
      <c r="F16" s="54">
        <v>11.9</v>
      </c>
      <c r="G16" s="55">
        <v>63</v>
      </c>
      <c r="H16" s="150"/>
      <c r="I16" s="75">
        <f t="shared" si="2"/>
        <v>14</v>
      </c>
      <c r="J16" s="54">
        <v>11.6</v>
      </c>
      <c r="K16" s="55">
        <v>30</v>
      </c>
      <c r="L16" s="150"/>
      <c r="M16" s="75">
        <f t="shared" si="3"/>
        <v>14</v>
      </c>
      <c r="N16" s="54">
        <v>82.41</v>
      </c>
      <c r="O16" s="55">
        <v>1128</v>
      </c>
      <c r="P16" s="150"/>
      <c r="Q16" s="75">
        <f t="shared" si="4"/>
        <v>14</v>
      </c>
      <c r="R16" s="54"/>
      <c r="T16" s="150"/>
      <c r="U16" s="75">
        <f t="shared" si="5"/>
        <v>14</v>
      </c>
      <c r="V16" s="54">
        <v>14.94</v>
      </c>
      <c r="W16" s="55">
        <v>350</v>
      </c>
      <c r="X16" s="150"/>
      <c r="Y16" s="75">
        <f t="shared" si="6"/>
        <v>14</v>
      </c>
      <c r="Z16" s="54">
        <v>12.2</v>
      </c>
      <c r="AA16" s="55">
        <v>68</v>
      </c>
      <c r="AB16" s="150"/>
      <c r="AC16" s="75">
        <f t="shared" si="7"/>
        <v>14</v>
      </c>
      <c r="AD16" s="54">
        <v>14.76</v>
      </c>
      <c r="AE16" s="55">
        <v>75</v>
      </c>
      <c r="AF16" s="150"/>
      <c r="AG16" s="75">
        <f t="shared" si="8"/>
        <v>14</v>
      </c>
      <c r="AH16" s="54">
        <v>27.23</v>
      </c>
      <c r="AI16" s="55">
        <v>601</v>
      </c>
      <c r="AJ16" s="150"/>
      <c r="AK16" s="75">
        <f t="shared" si="9"/>
        <v>14</v>
      </c>
      <c r="AL16" s="54">
        <v>14.86</v>
      </c>
      <c r="AM16" s="55">
        <v>245</v>
      </c>
      <c r="AN16" s="150"/>
      <c r="AO16" s="75">
        <f t="shared" si="10"/>
        <v>14</v>
      </c>
      <c r="AP16" s="54">
        <v>14.24</v>
      </c>
      <c r="AQ16" s="55">
        <v>160</v>
      </c>
      <c r="AR16" s="150"/>
      <c r="AS16" s="75">
        <f t="shared" si="11"/>
        <v>14</v>
      </c>
      <c r="AT16" s="54"/>
      <c r="AU16" s="55"/>
      <c r="AV16" s="150"/>
      <c r="AW16" s="67"/>
    </row>
    <row r="17" spans="1:49" s="49" customFormat="1" ht="11.25" x14ac:dyDescent="0.2">
      <c r="A17" s="73">
        <f t="shared" si="0"/>
        <v>15</v>
      </c>
      <c r="B17" s="54">
        <v>21</v>
      </c>
      <c r="C17" s="55">
        <v>1020</v>
      </c>
      <c r="D17" s="150"/>
      <c r="E17" s="75">
        <f t="shared" si="1"/>
        <v>15</v>
      </c>
      <c r="F17" s="54"/>
      <c r="G17" s="55"/>
      <c r="H17" s="150"/>
      <c r="I17" s="75">
        <f t="shared" si="2"/>
        <v>15</v>
      </c>
      <c r="J17" s="54">
        <v>19.3</v>
      </c>
      <c r="K17" s="55">
        <v>120</v>
      </c>
      <c r="L17" s="150"/>
      <c r="M17" s="75">
        <f t="shared" si="3"/>
        <v>15</v>
      </c>
      <c r="N17" s="54">
        <v>85.45</v>
      </c>
      <c r="O17" s="55">
        <v>1110</v>
      </c>
      <c r="P17" s="150"/>
      <c r="Q17" s="75">
        <f t="shared" si="4"/>
        <v>15</v>
      </c>
      <c r="R17" s="54"/>
      <c r="T17" s="150"/>
      <c r="U17" s="75">
        <f t="shared" si="5"/>
        <v>15</v>
      </c>
      <c r="V17" s="54">
        <v>92.42</v>
      </c>
      <c r="W17" s="55">
        <v>1300</v>
      </c>
      <c r="X17" s="150"/>
      <c r="Y17" s="75">
        <f t="shared" si="6"/>
        <v>15</v>
      </c>
      <c r="Z17" s="54">
        <v>20.57</v>
      </c>
      <c r="AA17" s="55">
        <v>430</v>
      </c>
      <c r="AB17" s="150"/>
      <c r="AC17" s="75">
        <f t="shared" si="7"/>
        <v>15</v>
      </c>
      <c r="AD17" s="54">
        <v>84.98</v>
      </c>
      <c r="AE17" s="55">
        <v>983</v>
      </c>
      <c r="AF17" s="150"/>
      <c r="AG17" s="75">
        <f t="shared" si="8"/>
        <v>15</v>
      </c>
      <c r="AH17" s="54">
        <v>18.600000000000001</v>
      </c>
      <c r="AI17" s="55">
        <v>95</v>
      </c>
      <c r="AJ17" s="150"/>
      <c r="AK17" s="75">
        <f t="shared" si="9"/>
        <v>15</v>
      </c>
      <c r="AL17" s="54">
        <v>17.82</v>
      </c>
      <c r="AM17" s="55">
        <v>130</v>
      </c>
      <c r="AN17" s="150"/>
      <c r="AO17" s="75">
        <f t="shared" si="10"/>
        <v>15</v>
      </c>
      <c r="AP17" s="54">
        <v>21.07</v>
      </c>
      <c r="AQ17" s="55">
        <v>20</v>
      </c>
      <c r="AR17" s="150"/>
      <c r="AS17" s="75">
        <f t="shared" si="11"/>
        <v>15</v>
      </c>
      <c r="AT17" s="54"/>
      <c r="AU17" s="55"/>
      <c r="AV17" s="150"/>
      <c r="AW17" s="67"/>
    </row>
    <row r="18" spans="1:49" s="49" customFormat="1" ht="11.25" x14ac:dyDescent="0.2">
      <c r="A18" s="73">
        <f t="shared" si="0"/>
        <v>16</v>
      </c>
      <c r="B18" s="54">
        <v>27</v>
      </c>
      <c r="C18" s="55">
        <v>710</v>
      </c>
      <c r="D18" s="150"/>
      <c r="E18" s="75">
        <f t="shared" si="1"/>
        <v>16</v>
      </c>
      <c r="F18" s="54">
        <v>38.9</v>
      </c>
      <c r="G18" s="55">
        <v>196</v>
      </c>
      <c r="H18" s="150"/>
      <c r="I18" s="75">
        <f t="shared" si="2"/>
        <v>16</v>
      </c>
      <c r="J18" s="54"/>
      <c r="K18" s="55"/>
      <c r="L18" s="150"/>
      <c r="M18" s="75">
        <f t="shared" si="3"/>
        <v>16</v>
      </c>
      <c r="N18" s="54">
        <v>11.8</v>
      </c>
      <c r="O18" s="55">
        <v>63</v>
      </c>
      <c r="P18" s="150"/>
      <c r="Q18" s="75">
        <f t="shared" si="4"/>
        <v>16</v>
      </c>
      <c r="R18" s="54"/>
      <c r="S18" s="55"/>
      <c r="T18" s="150"/>
      <c r="U18" s="75">
        <f t="shared" si="5"/>
        <v>16</v>
      </c>
      <c r="V18" s="54">
        <v>72.099999999999994</v>
      </c>
      <c r="W18" s="55">
        <v>745</v>
      </c>
      <c r="X18" s="150"/>
      <c r="Y18" s="75">
        <f t="shared" si="6"/>
        <v>16</v>
      </c>
      <c r="Z18" s="54">
        <v>23.5</v>
      </c>
      <c r="AA18" s="55">
        <v>490</v>
      </c>
      <c r="AB18" s="150"/>
      <c r="AC18" s="75">
        <f t="shared" si="7"/>
        <v>16</v>
      </c>
      <c r="AD18" s="54">
        <v>21.46</v>
      </c>
      <c r="AE18" s="55">
        <v>118</v>
      </c>
      <c r="AF18" s="150"/>
      <c r="AG18" s="75">
        <f t="shared" si="8"/>
        <v>16</v>
      </c>
      <c r="AH18" s="54">
        <v>12.120000000000001</v>
      </c>
      <c r="AI18" s="55">
        <v>60</v>
      </c>
      <c r="AJ18" s="150"/>
      <c r="AK18" s="75">
        <f t="shared" si="9"/>
        <v>16</v>
      </c>
      <c r="AL18" s="54">
        <v>15.309999999999999</v>
      </c>
      <c r="AM18" s="55">
        <v>110</v>
      </c>
      <c r="AN18" s="150"/>
      <c r="AO18" s="75">
        <f t="shared" si="10"/>
        <v>16</v>
      </c>
      <c r="AP18" s="54">
        <v>51.019999999999996</v>
      </c>
      <c r="AQ18" s="55">
        <v>136</v>
      </c>
      <c r="AR18" s="150"/>
      <c r="AS18" s="75">
        <f t="shared" si="11"/>
        <v>16</v>
      </c>
      <c r="AT18" s="54"/>
      <c r="AU18" s="55"/>
      <c r="AV18" s="150"/>
      <c r="AW18" s="67"/>
    </row>
    <row r="19" spans="1:49" s="49" customFormat="1" ht="11.25" x14ac:dyDescent="0.2">
      <c r="A19" s="73">
        <f t="shared" si="0"/>
        <v>17</v>
      </c>
      <c r="B19" s="54">
        <v>20</v>
      </c>
      <c r="C19" s="55">
        <v>510</v>
      </c>
      <c r="D19" s="150"/>
      <c r="E19" s="75">
        <f t="shared" si="1"/>
        <v>17</v>
      </c>
      <c r="F19" s="54">
        <v>37.4</v>
      </c>
      <c r="G19" s="55">
        <v>150</v>
      </c>
      <c r="H19" s="150"/>
      <c r="I19" s="75">
        <f t="shared" si="2"/>
        <v>17</v>
      </c>
      <c r="J19" s="54"/>
      <c r="K19" s="55"/>
      <c r="L19" s="150"/>
      <c r="M19" s="75">
        <f t="shared" si="3"/>
        <v>17</v>
      </c>
      <c r="N19" s="54">
        <v>19.77</v>
      </c>
      <c r="O19" s="55">
        <v>434</v>
      </c>
      <c r="P19" s="150"/>
      <c r="Q19" s="75">
        <f t="shared" si="4"/>
        <v>17</v>
      </c>
      <c r="R19" s="54"/>
      <c r="S19" s="55"/>
      <c r="T19" s="150"/>
      <c r="U19" s="75">
        <f t="shared" si="5"/>
        <v>17</v>
      </c>
      <c r="V19" s="54">
        <v>39.299999999999997</v>
      </c>
      <c r="W19" s="55">
        <v>473</v>
      </c>
      <c r="X19" s="150"/>
      <c r="Y19" s="75">
        <f t="shared" si="6"/>
        <v>17</v>
      </c>
      <c r="Z19" s="54">
        <v>11.44</v>
      </c>
      <c r="AA19" s="55">
        <v>50</v>
      </c>
      <c r="AB19" s="150"/>
      <c r="AC19" s="75">
        <f t="shared" si="7"/>
        <v>17</v>
      </c>
      <c r="AD19" s="54">
        <v>29.18</v>
      </c>
      <c r="AE19" s="55">
        <v>445</v>
      </c>
      <c r="AF19" s="150"/>
      <c r="AG19" s="75">
        <f t="shared" si="8"/>
        <v>17</v>
      </c>
      <c r="AH19" s="54">
        <v>16.73</v>
      </c>
      <c r="AI19" s="55">
        <v>107</v>
      </c>
      <c r="AJ19" s="150"/>
      <c r="AK19" s="75">
        <f t="shared" si="9"/>
        <v>17</v>
      </c>
      <c r="AL19" s="54">
        <v>11.14</v>
      </c>
      <c r="AM19" s="55">
        <v>59</v>
      </c>
      <c r="AN19" s="150"/>
      <c r="AO19" s="75">
        <f t="shared" si="10"/>
        <v>17</v>
      </c>
      <c r="AP19" s="54">
        <v>11.39</v>
      </c>
      <c r="AQ19" s="55">
        <v>67</v>
      </c>
      <c r="AR19" s="150"/>
      <c r="AS19" s="75">
        <f t="shared" si="11"/>
        <v>17</v>
      </c>
      <c r="AT19" s="54"/>
      <c r="AU19" s="55"/>
      <c r="AV19" s="150"/>
      <c r="AW19" s="67"/>
    </row>
    <row r="20" spans="1:49" s="49" customFormat="1" ht="11.25" x14ac:dyDescent="0.2">
      <c r="A20" s="73">
        <f t="shared" si="0"/>
        <v>18</v>
      </c>
      <c r="B20" s="54">
        <v>20</v>
      </c>
      <c r="C20" s="55">
        <v>630</v>
      </c>
      <c r="D20" s="150"/>
      <c r="E20" s="75">
        <f t="shared" si="1"/>
        <v>18</v>
      </c>
      <c r="F20" s="54">
        <v>18.2</v>
      </c>
      <c r="G20" s="55">
        <v>152</v>
      </c>
      <c r="H20" s="150"/>
      <c r="I20" s="75">
        <f t="shared" si="2"/>
        <v>18</v>
      </c>
      <c r="J20" s="54"/>
      <c r="K20" s="55"/>
      <c r="L20" s="150"/>
      <c r="M20" s="75">
        <f t="shared" si="3"/>
        <v>18</v>
      </c>
      <c r="N20" s="54">
        <v>12.19</v>
      </c>
      <c r="O20" s="55">
        <v>440</v>
      </c>
      <c r="P20" s="150"/>
      <c r="Q20" s="75">
        <f t="shared" si="4"/>
        <v>18</v>
      </c>
      <c r="R20" s="54"/>
      <c r="S20" s="55"/>
      <c r="T20" s="150"/>
      <c r="U20" s="75">
        <f t="shared" si="5"/>
        <v>18</v>
      </c>
      <c r="V20" s="54">
        <v>24.9</v>
      </c>
      <c r="W20" s="55">
        <v>636</v>
      </c>
      <c r="X20" s="150"/>
      <c r="Y20" s="75">
        <f t="shared" si="6"/>
        <v>18</v>
      </c>
      <c r="Z20" s="54">
        <v>14.8</v>
      </c>
      <c r="AA20" s="55">
        <v>330</v>
      </c>
      <c r="AB20" s="150"/>
      <c r="AC20" s="75">
        <f t="shared" si="7"/>
        <v>18</v>
      </c>
      <c r="AD20" s="54">
        <v>49.43</v>
      </c>
      <c r="AE20" s="55">
        <v>588</v>
      </c>
      <c r="AF20" s="150"/>
      <c r="AG20" s="75">
        <f t="shared" si="8"/>
        <v>18</v>
      </c>
      <c r="AH20" s="54">
        <v>14.58</v>
      </c>
      <c r="AI20" s="55">
        <v>45</v>
      </c>
      <c r="AJ20" s="150"/>
      <c r="AK20" s="75">
        <f t="shared" si="9"/>
        <v>18</v>
      </c>
      <c r="AL20" s="54">
        <v>19.77</v>
      </c>
      <c r="AM20" s="55">
        <v>434</v>
      </c>
      <c r="AN20" s="150"/>
      <c r="AO20" s="75">
        <f t="shared" si="10"/>
        <v>18</v>
      </c>
      <c r="AP20" s="54">
        <v>12</v>
      </c>
      <c r="AQ20" s="55">
        <v>162</v>
      </c>
      <c r="AR20" s="150"/>
      <c r="AS20" s="75">
        <f t="shared" si="11"/>
        <v>18</v>
      </c>
      <c r="AT20" s="54"/>
      <c r="AU20" s="55"/>
      <c r="AV20" s="150"/>
      <c r="AW20" s="67"/>
    </row>
    <row r="21" spans="1:49" s="49" customFormat="1" ht="11.25" x14ac:dyDescent="0.2">
      <c r="A21" s="73">
        <f t="shared" si="0"/>
        <v>19</v>
      </c>
      <c r="B21" s="54">
        <v>13</v>
      </c>
      <c r="C21" s="55">
        <v>670</v>
      </c>
      <c r="D21" s="150"/>
      <c r="E21" s="75">
        <f t="shared" si="1"/>
        <v>19</v>
      </c>
      <c r="F21" s="54"/>
      <c r="G21" s="55"/>
      <c r="H21" s="150"/>
      <c r="I21" s="75">
        <f t="shared" si="2"/>
        <v>19</v>
      </c>
      <c r="J21" s="54"/>
      <c r="K21" s="55"/>
      <c r="L21" s="150"/>
      <c r="M21" s="75">
        <f t="shared" si="3"/>
        <v>19</v>
      </c>
      <c r="N21" s="54">
        <v>17</v>
      </c>
      <c r="O21" s="55">
        <v>78</v>
      </c>
      <c r="P21" s="150"/>
      <c r="Q21" s="75">
        <f t="shared" si="4"/>
        <v>19</v>
      </c>
      <c r="R21" s="54">
        <v>109.87</v>
      </c>
      <c r="S21" s="55">
        <v>1755</v>
      </c>
      <c r="T21" s="150"/>
      <c r="U21" s="75">
        <f t="shared" si="5"/>
        <v>19</v>
      </c>
      <c r="V21" s="54"/>
      <c r="W21" s="55"/>
      <c r="X21" s="150"/>
      <c r="Y21" s="75">
        <f t="shared" si="6"/>
        <v>19</v>
      </c>
      <c r="Z21" s="54">
        <v>21.48</v>
      </c>
      <c r="AA21" s="55">
        <v>465</v>
      </c>
      <c r="AB21" s="150"/>
      <c r="AC21" s="75">
        <f t="shared" si="7"/>
        <v>19</v>
      </c>
      <c r="AD21" s="54">
        <v>19.77</v>
      </c>
      <c r="AE21" s="55">
        <v>434</v>
      </c>
      <c r="AF21" s="150"/>
      <c r="AG21" s="75">
        <f t="shared" si="8"/>
        <v>19</v>
      </c>
      <c r="AH21" s="54">
        <v>12.41</v>
      </c>
      <c r="AI21" s="55">
        <v>331</v>
      </c>
      <c r="AJ21" s="150"/>
      <c r="AK21" s="75">
        <f t="shared" si="9"/>
        <v>19</v>
      </c>
      <c r="AL21" s="54">
        <v>56.16</v>
      </c>
      <c r="AM21" s="55">
        <v>320</v>
      </c>
      <c r="AN21" s="150"/>
      <c r="AO21" s="75">
        <f t="shared" si="10"/>
        <v>19</v>
      </c>
      <c r="AP21" s="54">
        <v>5.2</v>
      </c>
      <c r="AQ21" s="55">
        <v>10</v>
      </c>
      <c r="AR21" s="150"/>
      <c r="AS21" s="75">
        <f t="shared" si="11"/>
        <v>19</v>
      </c>
      <c r="AT21" s="54">
        <v>20.5</v>
      </c>
      <c r="AU21" s="55">
        <v>35</v>
      </c>
      <c r="AV21" s="150"/>
      <c r="AW21" s="67"/>
    </row>
    <row r="22" spans="1:49" s="49" customFormat="1" ht="11.25" x14ac:dyDescent="0.2">
      <c r="A22" s="73">
        <f t="shared" si="0"/>
        <v>20</v>
      </c>
      <c r="B22" s="54">
        <v>25.2</v>
      </c>
      <c r="C22" s="55">
        <v>750</v>
      </c>
      <c r="D22" s="150"/>
      <c r="E22" s="75">
        <f t="shared" si="1"/>
        <v>20</v>
      </c>
      <c r="F22" s="54"/>
      <c r="G22" s="55"/>
      <c r="H22" s="150"/>
      <c r="I22" s="75">
        <f t="shared" si="2"/>
        <v>20</v>
      </c>
      <c r="J22" s="54"/>
      <c r="K22" s="55"/>
      <c r="L22" s="150"/>
      <c r="M22" s="75">
        <f t="shared" si="3"/>
        <v>20</v>
      </c>
      <c r="N22" s="54">
        <v>14.8</v>
      </c>
      <c r="O22" s="55">
        <v>330</v>
      </c>
      <c r="P22" s="150"/>
      <c r="Q22" s="75">
        <f t="shared" si="4"/>
        <v>20</v>
      </c>
      <c r="R22" s="54">
        <v>14.8</v>
      </c>
      <c r="S22" s="55">
        <v>60</v>
      </c>
      <c r="T22" s="150"/>
      <c r="U22" s="75">
        <f t="shared" si="5"/>
        <v>20</v>
      </c>
      <c r="V22" s="54"/>
      <c r="W22" s="55"/>
      <c r="X22" s="150"/>
      <c r="Y22" s="75">
        <f t="shared" si="6"/>
        <v>20</v>
      </c>
      <c r="Z22" s="54">
        <v>36.17</v>
      </c>
      <c r="AA22" s="55">
        <v>428</v>
      </c>
      <c r="AB22" s="150"/>
      <c r="AC22" s="75">
        <f t="shared" si="7"/>
        <v>20</v>
      </c>
      <c r="AD22" s="54">
        <v>18.150000000000002</v>
      </c>
      <c r="AE22" s="55">
        <v>98</v>
      </c>
      <c r="AF22" s="150"/>
      <c r="AG22" s="75">
        <f t="shared" si="8"/>
        <v>20</v>
      </c>
      <c r="AH22" s="54">
        <v>15.1</v>
      </c>
      <c r="AI22" s="55">
        <v>78</v>
      </c>
      <c r="AJ22" s="150"/>
      <c r="AK22" s="75">
        <f t="shared" si="9"/>
        <v>20</v>
      </c>
      <c r="AL22" s="54">
        <v>45.8</v>
      </c>
      <c r="AM22" s="55">
        <v>130</v>
      </c>
      <c r="AN22" s="150"/>
      <c r="AO22" s="75">
        <f t="shared" si="10"/>
        <v>20</v>
      </c>
      <c r="AP22" s="54">
        <v>12.3</v>
      </c>
      <c r="AQ22" s="55">
        <v>35</v>
      </c>
      <c r="AR22" s="150"/>
      <c r="AS22" s="75">
        <f t="shared" si="11"/>
        <v>20</v>
      </c>
      <c r="AT22" s="54">
        <v>29.4</v>
      </c>
      <c r="AU22" s="55">
        <v>444</v>
      </c>
      <c r="AV22" s="150"/>
      <c r="AW22" s="67"/>
    </row>
    <row r="23" spans="1:49" s="49" customFormat="1" ht="11.25" x14ac:dyDescent="0.2">
      <c r="A23" s="73">
        <f t="shared" si="0"/>
        <v>21</v>
      </c>
      <c r="B23" s="54">
        <v>19</v>
      </c>
      <c r="C23" s="55">
        <v>550</v>
      </c>
      <c r="D23" s="150"/>
      <c r="E23" s="75">
        <f t="shared" si="1"/>
        <v>21</v>
      </c>
      <c r="F23" s="54">
        <v>11.9</v>
      </c>
      <c r="G23" s="55">
        <v>63</v>
      </c>
      <c r="H23" s="150"/>
      <c r="I23" s="75">
        <f t="shared" si="2"/>
        <v>21</v>
      </c>
      <c r="J23" s="54"/>
      <c r="K23" s="55"/>
      <c r="L23" s="150"/>
      <c r="M23" s="75">
        <f t="shared" si="3"/>
        <v>21</v>
      </c>
      <c r="N23" s="54">
        <v>43.39</v>
      </c>
      <c r="O23" s="55">
        <v>608</v>
      </c>
      <c r="P23" s="150"/>
      <c r="Q23" s="75">
        <f t="shared" si="4"/>
        <v>21</v>
      </c>
      <c r="R23" s="54"/>
      <c r="S23" s="55"/>
      <c r="T23" s="150"/>
      <c r="U23" s="75">
        <f t="shared" si="5"/>
        <v>21</v>
      </c>
      <c r="V23" s="54">
        <v>24.9</v>
      </c>
      <c r="W23" s="55">
        <v>636</v>
      </c>
      <c r="X23" s="150"/>
      <c r="Y23" s="75">
        <f t="shared" si="6"/>
        <v>21</v>
      </c>
      <c r="Z23" s="54">
        <v>19.239999999999998</v>
      </c>
      <c r="AA23" s="55">
        <v>155</v>
      </c>
      <c r="AB23" s="150"/>
      <c r="AC23" s="75">
        <f t="shared" si="7"/>
        <v>21</v>
      </c>
      <c r="AD23" s="54">
        <v>17.079999999999998</v>
      </c>
      <c r="AE23" s="55">
        <v>369</v>
      </c>
      <c r="AF23" s="150"/>
      <c r="AG23" s="75">
        <f t="shared" si="8"/>
        <v>21</v>
      </c>
      <c r="AH23" s="54">
        <v>31.32</v>
      </c>
      <c r="AI23" s="55">
        <v>176</v>
      </c>
      <c r="AJ23" s="150"/>
      <c r="AK23" s="75">
        <f t="shared" si="9"/>
        <v>21</v>
      </c>
      <c r="AL23" s="54">
        <v>27.06</v>
      </c>
      <c r="AM23" s="55">
        <v>160</v>
      </c>
      <c r="AN23" s="150"/>
      <c r="AO23" s="75">
        <f t="shared" si="10"/>
        <v>21</v>
      </c>
      <c r="AP23" s="54">
        <v>15.1</v>
      </c>
      <c r="AQ23" s="55">
        <v>50</v>
      </c>
      <c r="AR23" s="150"/>
      <c r="AS23" s="75">
        <f t="shared" si="11"/>
        <v>21</v>
      </c>
      <c r="AT23" s="54">
        <v>15</v>
      </c>
      <c r="AU23" s="55">
        <v>100</v>
      </c>
      <c r="AV23" s="150"/>
      <c r="AW23" s="67"/>
    </row>
    <row r="24" spans="1:49" s="49" customFormat="1" ht="11.25" x14ac:dyDescent="0.2">
      <c r="A24" s="73">
        <f t="shared" si="0"/>
        <v>22</v>
      </c>
      <c r="B24" s="54">
        <v>24.9</v>
      </c>
      <c r="C24" s="55">
        <v>630</v>
      </c>
      <c r="D24" s="150"/>
      <c r="E24" s="75">
        <f t="shared" si="1"/>
        <v>22</v>
      </c>
      <c r="F24" s="54">
        <v>14.8</v>
      </c>
      <c r="G24" s="55">
        <v>78</v>
      </c>
      <c r="H24" s="150"/>
      <c r="I24" s="75">
        <f t="shared" si="2"/>
        <v>22</v>
      </c>
      <c r="J24" s="54"/>
      <c r="K24" s="55"/>
      <c r="L24" s="150"/>
      <c r="M24" s="75">
        <f t="shared" si="3"/>
        <v>22</v>
      </c>
      <c r="N24" s="54">
        <v>12.2</v>
      </c>
      <c r="O24" s="55">
        <v>162</v>
      </c>
      <c r="P24" s="150"/>
      <c r="Q24" s="75">
        <f t="shared" si="4"/>
        <v>22</v>
      </c>
      <c r="R24" s="54">
        <v>12.6</v>
      </c>
      <c r="S24" s="49">
        <v>80</v>
      </c>
      <c r="T24" s="150"/>
      <c r="U24" s="75">
        <f t="shared" si="5"/>
        <v>22</v>
      </c>
      <c r="V24" s="54">
        <v>30.7</v>
      </c>
      <c r="W24" s="55">
        <v>320</v>
      </c>
      <c r="X24" s="150"/>
      <c r="Y24" s="75">
        <f t="shared" si="6"/>
        <v>22</v>
      </c>
      <c r="Z24" s="54">
        <v>18.150000000000002</v>
      </c>
      <c r="AA24" s="55">
        <v>98</v>
      </c>
      <c r="AB24" s="150"/>
      <c r="AC24" s="75">
        <f t="shared" si="7"/>
        <v>22</v>
      </c>
      <c r="AD24" s="54"/>
      <c r="AE24" s="55"/>
      <c r="AF24" s="150"/>
      <c r="AG24" s="75">
        <f t="shared" si="8"/>
        <v>22</v>
      </c>
      <c r="AH24" s="54">
        <v>34.19</v>
      </c>
      <c r="AI24" s="55">
        <v>463</v>
      </c>
      <c r="AJ24" s="150"/>
      <c r="AK24" s="75">
        <f t="shared" si="9"/>
        <v>22</v>
      </c>
      <c r="AL24" s="54">
        <v>21.48</v>
      </c>
      <c r="AM24" s="55">
        <v>465</v>
      </c>
      <c r="AN24" s="150"/>
      <c r="AO24" s="75">
        <f t="shared" si="10"/>
        <v>22</v>
      </c>
      <c r="AP24" s="54">
        <v>12.48</v>
      </c>
      <c r="AQ24" s="55">
        <v>346</v>
      </c>
      <c r="AR24" s="150"/>
      <c r="AS24" s="75">
        <f t="shared" si="11"/>
        <v>22</v>
      </c>
      <c r="AT24" s="54">
        <v>26.700000000000003</v>
      </c>
      <c r="AU24" s="55">
        <v>517</v>
      </c>
      <c r="AV24" s="150"/>
      <c r="AW24" s="67"/>
    </row>
    <row r="25" spans="1:49" s="49" customFormat="1" ht="11.25" x14ac:dyDescent="0.2">
      <c r="A25" s="73">
        <f t="shared" si="0"/>
        <v>23</v>
      </c>
      <c r="B25" s="54">
        <v>21</v>
      </c>
      <c r="C25" s="55">
        <v>540</v>
      </c>
      <c r="D25" s="150"/>
      <c r="E25" s="75">
        <f t="shared" si="1"/>
        <v>23</v>
      </c>
      <c r="F25" s="54"/>
      <c r="G25" s="55"/>
      <c r="H25" s="150"/>
      <c r="I25" s="75">
        <f t="shared" si="2"/>
        <v>23</v>
      </c>
      <c r="J25" s="54">
        <v>33.299999999999997</v>
      </c>
      <c r="K25" s="55">
        <v>731</v>
      </c>
      <c r="L25" s="150"/>
      <c r="M25" s="75">
        <f t="shared" si="3"/>
        <v>23</v>
      </c>
      <c r="N25" s="54">
        <v>31</v>
      </c>
      <c r="O25" s="55">
        <v>275</v>
      </c>
      <c r="P25" s="150"/>
      <c r="Q25" s="75">
        <f t="shared" si="4"/>
        <v>23</v>
      </c>
      <c r="R25" s="54"/>
      <c r="S25" s="55"/>
      <c r="T25" s="150"/>
      <c r="U25" s="75">
        <f t="shared" si="5"/>
        <v>23</v>
      </c>
      <c r="V25" s="54">
        <v>133.09</v>
      </c>
      <c r="W25" s="55">
        <v>1445</v>
      </c>
      <c r="X25" s="150"/>
      <c r="Y25" s="75">
        <f t="shared" si="6"/>
        <v>23</v>
      </c>
      <c r="Z25" s="54">
        <v>12.15</v>
      </c>
      <c r="AA25" s="55">
        <v>145</v>
      </c>
      <c r="AB25" s="150"/>
      <c r="AC25" s="75">
        <f t="shared" si="7"/>
        <v>23</v>
      </c>
      <c r="AD25" s="54">
        <v>11.45</v>
      </c>
      <c r="AE25" s="55">
        <v>55</v>
      </c>
      <c r="AF25" s="150"/>
      <c r="AG25" s="75">
        <f t="shared" si="8"/>
        <v>23</v>
      </c>
      <c r="AH25" s="54">
        <v>14.8</v>
      </c>
      <c r="AI25" s="55">
        <v>330</v>
      </c>
      <c r="AJ25" s="150"/>
      <c r="AK25" s="75">
        <f t="shared" si="9"/>
        <v>23</v>
      </c>
      <c r="AL25" s="54">
        <v>14.309999999999999</v>
      </c>
      <c r="AM25" s="55">
        <v>79</v>
      </c>
      <c r="AN25" s="150"/>
      <c r="AO25" s="75">
        <f t="shared" si="10"/>
        <v>23</v>
      </c>
      <c r="AP25" s="54">
        <v>33.11</v>
      </c>
      <c r="AQ25" s="55">
        <v>521</v>
      </c>
      <c r="AR25" s="150"/>
      <c r="AS25" s="75">
        <f t="shared" si="11"/>
        <v>23</v>
      </c>
      <c r="AT25" s="54">
        <v>11.28</v>
      </c>
      <c r="AU25" s="55">
        <v>42</v>
      </c>
      <c r="AV25" s="150"/>
      <c r="AW25" s="67"/>
    </row>
    <row r="26" spans="1:49" s="49" customFormat="1" ht="11.25" x14ac:dyDescent="0.2">
      <c r="A26" s="73">
        <f t="shared" si="0"/>
        <v>24</v>
      </c>
      <c r="B26" s="54">
        <v>16.399999999999999</v>
      </c>
      <c r="C26" s="55">
        <v>600</v>
      </c>
      <c r="D26" s="150"/>
      <c r="E26" s="75">
        <f t="shared" si="1"/>
        <v>24</v>
      </c>
      <c r="F26" s="54"/>
      <c r="G26" s="55"/>
      <c r="H26" s="150">
        <v>4.2361111111111106E-2</v>
      </c>
      <c r="I26" s="75">
        <f t="shared" si="2"/>
        <v>24</v>
      </c>
      <c r="J26" s="54">
        <v>24.4</v>
      </c>
      <c r="K26" s="55">
        <v>766</v>
      </c>
      <c r="L26" s="150"/>
      <c r="M26" s="75">
        <f t="shared" si="3"/>
        <v>24</v>
      </c>
      <c r="N26" s="54">
        <v>20.3</v>
      </c>
      <c r="O26" s="55">
        <v>360</v>
      </c>
      <c r="P26" s="150"/>
      <c r="Q26" s="75">
        <f t="shared" si="4"/>
        <v>24</v>
      </c>
      <c r="R26" s="54">
        <v>22.8</v>
      </c>
      <c r="S26" s="55">
        <v>120</v>
      </c>
      <c r="T26" s="150"/>
      <c r="U26" s="75">
        <f t="shared" si="5"/>
        <v>24</v>
      </c>
      <c r="V26" s="54"/>
      <c r="W26" s="55"/>
      <c r="X26" s="150"/>
      <c r="Y26" s="75">
        <f t="shared" si="6"/>
        <v>24</v>
      </c>
      <c r="Z26" s="54">
        <v>21.48</v>
      </c>
      <c r="AA26" s="55">
        <v>465</v>
      </c>
      <c r="AB26" s="150"/>
      <c r="AC26" s="75">
        <f t="shared" si="7"/>
        <v>24</v>
      </c>
      <c r="AD26" s="54"/>
      <c r="AE26" s="55"/>
      <c r="AF26" s="150"/>
      <c r="AG26" s="75">
        <f t="shared" si="8"/>
        <v>24</v>
      </c>
      <c r="AH26" s="54">
        <v>17.8</v>
      </c>
      <c r="AI26" s="55">
        <v>360</v>
      </c>
      <c r="AJ26" s="150"/>
      <c r="AK26" s="75">
        <f t="shared" si="9"/>
        <v>24</v>
      </c>
      <c r="AL26" s="54">
        <v>13.19</v>
      </c>
      <c r="AM26" s="55">
        <v>73</v>
      </c>
      <c r="AN26" s="150"/>
      <c r="AO26" s="75">
        <f t="shared" si="10"/>
        <v>24</v>
      </c>
      <c r="AP26" s="54">
        <v>36.799999999999997</v>
      </c>
      <c r="AQ26" s="55">
        <v>488</v>
      </c>
      <c r="AR26" s="150"/>
      <c r="AS26" s="75">
        <f t="shared" si="11"/>
        <v>24</v>
      </c>
      <c r="AT26" s="54">
        <v>26.700000000000003</v>
      </c>
      <c r="AU26" s="55">
        <v>517</v>
      </c>
      <c r="AV26" s="150"/>
      <c r="AW26" s="67"/>
    </row>
    <row r="27" spans="1:49" s="49" customFormat="1" ht="11.25" x14ac:dyDescent="0.2">
      <c r="A27" s="73">
        <f t="shared" si="0"/>
        <v>25</v>
      </c>
      <c r="B27" s="54">
        <v>5</v>
      </c>
      <c r="C27" s="55">
        <v>270</v>
      </c>
      <c r="D27" s="150"/>
      <c r="E27" s="75">
        <f t="shared" si="1"/>
        <v>25</v>
      </c>
      <c r="F27" s="54"/>
      <c r="G27" s="55"/>
      <c r="H27" s="150"/>
      <c r="I27" s="75">
        <f t="shared" si="2"/>
        <v>25</v>
      </c>
      <c r="J27" s="54">
        <v>10.8</v>
      </c>
      <c r="K27" s="55">
        <v>15</v>
      </c>
      <c r="L27" s="150"/>
      <c r="M27" s="75">
        <f t="shared" si="3"/>
        <v>25</v>
      </c>
      <c r="N27" s="54">
        <v>15.3</v>
      </c>
      <c r="O27" s="55">
        <v>78</v>
      </c>
      <c r="P27" s="150"/>
      <c r="Q27" s="75">
        <f t="shared" si="4"/>
        <v>25</v>
      </c>
      <c r="R27" s="54">
        <v>42</v>
      </c>
      <c r="S27" s="55">
        <v>355</v>
      </c>
      <c r="T27" s="150"/>
      <c r="U27" s="75">
        <f t="shared" si="5"/>
        <v>25</v>
      </c>
      <c r="V27" s="54"/>
      <c r="W27" s="55"/>
      <c r="X27" s="150"/>
      <c r="Y27" s="75">
        <f t="shared" si="6"/>
        <v>25</v>
      </c>
      <c r="Z27" s="54">
        <v>19.059999999999999</v>
      </c>
      <c r="AA27" s="55">
        <v>178</v>
      </c>
      <c r="AB27" s="150"/>
      <c r="AC27" s="75">
        <f t="shared" si="7"/>
        <v>25</v>
      </c>
      <c r="AD27" s="54">
        <v>31.6</v>
      </c>
      <c r="AE27" s="55">
        <v>108</v>
      </c>
      <c r="AF27" s="150"/>
      <c r="AG27" s="75">
        <f t="shared" si="8"/>
        <v>25</v>
      </c>
      <c r="AH27" s="54">
        <v>19</v>
      </c>
      <c r="AI27" s="55">
        <v>380</v>
      </c>
      <c r="AJ27" s="150"/>
      <c r="AK27" s="75">
        <f t="shared" si="9"/>
        <v>25</v>
      </c>
      <c r="AL27" s="54">
        <v>17.82</v>
      </c>
      <c r="AM27" s="55">
        <v>130</v>
      </c>
      <c r="AN27" s="150"/>
      <c r="AO27" s="75">
        <f t="shared" si="10"/>
        <v>25</v>
      </c>
      <c r="AP27" s="54">
        <v>12.28</v>
      </c>
      <c r="AQ27" s="55">
        <v>66</v>
      </c>
      <c r="AR27" s="150"/>
      <c r="AS27" s="75">
        <f t="shared" si="11"/>
        <v>25</v>
      </c>
      <c r="AT27" s="54">
        <v>7.2</v>
      </c>
      <c r="AU27" s="55">
        <v>30</v>
      </c>
      <c r="AV27" s="150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50"/>
      <c r="E28" s="75">
        <f t="shared" si="1"/>
        <v>26</v>
      </c>
      <c r="F28" s="54"/>
      <c r="G28" s="55"/>
      <c r="H28" s="150"/>
      <c r="I28" s="75">
        <f t="shared" si="2"/>
        <v>26</v>
      </c>
      <c r="J28" s="54">
        <v>17.2</v>
      </c>
      <c r="K28" s="55">
        <v>60</v>
      </c>
      <c r="L28" s="150"/>
      <c r="M28" s="75">
        <f t="shared" si="3"/>
        <v>26</v>
      </c>
      <c r="N28" s="54">
        <v>19.7</v>
      </c>
      <c r="O28" s="55">
        <v>54</v>
      </c>
      <c r="P28" s="150"/>
      <c r="Q28" s="75">
        <f t="shared" si="4"/>
        <v>26</v>
      </c>
      <c r="R28" s="54"/>
      <c r="S28" s="55"/>
      <c r="T28" s="150">
        <v>6.5277777777777782E-2</v>
      </c>
      <c r="U28" s="75">
        <f t="shared" si="5"/>
        <v>26</v>
      </c>
      <c r="V28" s="54">
        <v>47.6</v>
      </c>
      <c r="W28" s="55">
        <v>505</v>
      </c>
      <c r="X28" s="150"/>
      <c r="Y28" s="75">
        <f t="shared" si="6"/>
        <v>26</v>
      </c>
      <c r="Z28" s="54">
        <v>22</v>
      </c>
      <c r="AA28" s="55">
        <v>410</v>
      </c>
      <c r="AB28" s="150"/>
      <c r="AC28" s="75">
        <f t="shared" si="7"/>
        <v>26</v>
      </c>
      <c r="AD28" s="54"/>
      <c r="AE28" s="55"/>
      <c r="AF28" s="150"/>
      <c r="AG28" s="75">
        <f t="shared" si="8"/>
        <v>26</v>
      </c>
      <c r="AH28" s="54">
        <v>14.559999999999999</v>
      </c>
      <c r="AI28" s="55">
        <v>67</v>
      </c>
      <c r="AJ28" s="150"/>
      <c r="AK28" s="75">
        <f t="shared" si="9"/>
        <v>26</v>
      </c>
      <c r="AL28" s="54">
        <v>52.160000000000004</v>
      </c>
      <c r="AM28" s="55">
        <v>1080</v>
      </c>
      <c r="AN28" s="150"/>
      <c r="AO28" s="75">
        <f t="shared" si="10"/>
        <v>26</v>
      </c>
      <c r="AP28" s="54">
        <v>10.4</v>
      </c>
      <c r="AQ28" s="55">
        <v>15</v>
      </c>
      <c r="AR28" s="150"/>
      <c r="AS28" s="75">
        <f t="shared" si="11"/>
        <v>26</v>
      </c>
      <c r="AT28" s="54">
        <v>11</v>
      </c>
      <c r="AU28" s="55">
        <v>25</v>
      </c>
      <c r="AV28" s="150"/>
      <c r="AW28" s="67"/>
    </row>
    <row r="29" spans="1:49" s="49" customFormat="1" ht="11.25" x14ac:dyDescent="0.2">
      <c r="A29" s="73">
        <f t="shared" si="0"/>
        <v>27</v>
      </c>
      <c r="B29" s="54">
        <v>10.5</v>
      </c>
      <c r="C29" s="55">
        <v>80</v>
      </c>
      <c r="D29" s="150"/>
      <c r="E29" s="75">
        <f t="shared" si="1"/>
        <v>27</v>
      </c>
      <c r="F29" s="54"/>
      <c r="G29" s="55"/>
      <c r="H29" s="150"/>
      <c r="I29" s="75">
        <f t="shared" si="2"/>
        <v>27</v>
      </c>
      <c r="J29" s="54">
        <v>19</v>
      </c>
      <c r="K29" s="55">
        <v>77</v>
      </c>
      <c r="L29" s="150"/>
      <c r="M29" s="75">
        <f t="shared" si="3"/>
        <v>27</v>
      </c>
      <c r="N29" s="54"/>
      <c r="O29" s="55"/>
      <c r="P29" s="150"/>
      <c r="Q29" s="75">
        <f t="shared" si="4"/>
        <v>27</v>
      </c>
      <c r="R29" s="54">
        <v>22.5</v>
      </c>
      <c r="S29" s="55">
        <v>20</v>
      </c>
      <c r="T29" s="150"/>
      <c r="U29" s="75">
        <f t="shared" si="5"/>
        <v>27</v>
      </c>
      <c r="V29" s="54">
        <v>17.740000000000002</v>
      </c>
      <c r="W29" s="55">
        <v>93</v>
      </c>
      <c r="X29" s="150"/>
      <c r="Y29" s="75">
        <f t="shared" si="6"/>
        <v>27</v>
      </c>
      <c r="Z29" s="54">
        <v>53.73</v>
      </c>
      <c r="AA29" s="55">
        <v>265</v>
      </c>
      <c r="AB29" s="150"/>
      <c r="AC29" s="75">
        <f t="shared" si="7"/>
        <v>27</v>
      </c>
      <c r="AD29" s="54">
        <v>15.25</v>
      </c>
      <c r="AE29" s="55">
        <v>83</v>
      </c>
      <c r="AF29" s="150"/>
      <c r="AG29" s="75">
        <f t="shared" si="8"/>
        <v>27</v>
      </c>
      <c r="AH29" s="54">
        <v>26.5</v>
      </c>
      <c r="AI29" s="55">
        <v>520</v>
      </c>
      <c r="AJ29" s="150"/>
      <c r="AK29" s="75">
        <f t="shared" si="9"/>
        <v>27</v>
      </c>
      <c r="AL29" s="54">
        <v>34.629999999999995</v>
      </c>
      <c r="AM29" s="55">
        <v>361</v>
      </c>
      <c r="AN29" s="150"/>
      <c r="AO29" s="75">
        <f t="shared" si="10"/>
        <v>27</v>
      </c>
      <c r="AP29" s="54">
        <v>10.67</v>
      </c>
      <c r="AQ29" s="55">
        <v>77</v>
      </c>
      <c r="AR29" s="150"/>
      <c r="AS29" s="75">
        <f t="shared" si="11"/>
        <v>27</v>
      </c>
      <c r="AT29" s="54"/>
      <c r="AU29" s="55"/>
      <c r="AV29" s="150"/>
      <c r="AW29" s="67"/>
    </row>
    <row r="30" spans="1:49" s="49" customFormat="1" ht="11.25" x14ac:dyDescent="0.2">
      <c r="A30" s="73">
        <f t="shared" si="0"/>
        <v>28</v>
      </c>
      <c r="B30" s="54">
        <v>11.3</v>
      </c>
      <c r="C30" s="55">
        <v>100</v>
      </c>
      <c r="D30" s="150"/>
      <c r="E30" s="75">
        <f t="shared" si="1"/>
        <v>28</v>
      </c>
      <c r="F30" s="54"/>
      <c r="G30" s="55"/>
      <c r="H30" s="150"/>
      <c r="I30" s="75">
        <f t="shared" si="2"/>
        <v>28</v>
      </c>
      <c r="J30" s="54">
        <v>18.5</v>
      </c>
      <c r="K30" s="55">
        <v>145</v>
      </c>
      <c r="L30" s="150"/>
      <c r="M30" s="75">
        <f t="shared" si="3"/>
        <v>28</v>
      </c>
      <c r="N30" s="54">
        <v>24.66</v>
      </c>
      <c r="O30" s="55">
        <v>25</v>
      </c>
      <c r="P30" s="150"/>
      <c r="Q30" s="75">
        <f t="shared" si="4"/>
        <v>28</v>
      </c>
      <c r="R30" s="54">
        <v>10.1</v>
      </c>
      <c r="S30" s="55">
        <v>306</v>
      </c>
      <c r="T30" s="150"/>
      <c r="U30" s="75">
        <f t="shared" si="5"/>
        <v>28</v>
      </c>
      <c r="V30" s="54">
        <v>24.9</v>
      </c>
      <c r="W30" s="55">
        <v>636</v>
      </c>
      <c r="X30" s="150"/>
      <c r="Y30" s="75">
        <f t="shared" si="6"/>
        <v>28</v>
      </c>
      <c r="Z30" s="54">
        <v>26.2</v>
      </c>
      <c r="AA30" s="55">
        <v>420</v>
      </c>
      <c r="AB30" s="150"/>
      <c r="AC30" s="75">
        <f t="shared" si="7"/>
        <v>28</v>
      </c>
      <c r="AD30" s="54">
        <v>15.36</v>
      </c>
      <c r="AE30" s="55">
        <v>220</v>
      </c>
      <c r="AF30" s="150"/>
      <c r="AG30" s="75">
        <f t="shared" si="8"/>
        <v>28</v>
      </c>
      <c r="AH30" s="54">
        <v>61.74</v>
      </c>
      <c r="AI30" s="55">
        <v>438</v>
      </c>
      <c r="AJ30" s="150"/>
      <c r="AK30" s="75">
        <f t="shared" si="9"/>
        <v>28</v>
      </c>
      <c r="AL30" s="54">
        <v>10.6</v>
      </c>
      <c r="AM30" s="55">
        <v>30</v>
      </c>
      <c r="AN30" s="150"/>
      <c r="AO30" s="75">
        <f t="shared" si="10"/>
        <v>28</v>
      </c>
      <c r="AP30" s="54">
        <v>12.7</v>
      </c>
      <c r="AQ30" s="55">
        <v>50</v>
      </c>
      <c r="AR30" s="150"/>
      <c r="AS30" s="75">
        <f t="shared" si="11"/>
        <v>28</v>
      </c>
      <c r="AT30" s="54">
        <v>26</v>
      </c>
      <c r="AU30" s="55">
        <v>477</v>
      </c>
      <c r="AV30" s="150"/>
      <c r="AW30" s="67"/>
    </row>
    <row r="31" spans="1:49" s="49" customFormat="1" ht="11.25" x14ac:dyDescent="0.2">
      <c r="A31" s="73">
        <f t="shared" si="0"/>
        <v>29</v>
      </c>
      <c r="B31" s="54">
        <v>11.7</v>
      </c>
      <c r="C31" s="55">
        <v>160</v>
      </c>
      <c r="D31" s="150"/>
      <c r="E31" s="75"/>
      <c r="F31" s="54"/>
      <c r="G31" s="55"/>
      <c r="H31" s="150"/>
      <c r="I31" s="75">
        <f t="shared" si="2"/>
        <v>29</v>
      </c>
      <c r="J31" s="54">
        <v>36.099999999999994</v>
      </c>
      <c r="K31" s="55">
        <v>475</v>
      </c>
      <c r="L31" s="150"/>
      <c r="M31" s="75">
        <f t="shared" si="3"/>
        <v>29</v>
      </c>
      <c r="N31" s="54">
        <v>19.3</v>
      </c>
      <c r="O31" s="55">
        <v>177</v>
      </c>
      <c r="P31" s="150"/>
      <c r="Q31" s="75">
        <f t="shared" si="4"/>
        <v>29</v>
      </c>
      <c r="R31" s="54">
        <v>10.5</v>
      </c>
      <c r="S31" s="55">
        <v>30</v>
      </c>
      <c r="T31" s="150"/>
      <c r="U31" s="75">
        <f t="shared" si="5"/>
        <v>29</v>
      </c>
      <c r="V31" s="54">
        <v>14.3</v>
      </c>
      <c r="W31" s="55">
        <v>80</v>
      </c>
      <c r="X31" s="150"/>
      <c r="Y31" s="75">
        <f t="shared" si="6"/>
        <v>29</v>
      </c>
      <c r="Z31" s="54">
        <v>15.71</v>
      </c>
      <c r="AA31" s="55">
        <v>345</v>
      </c>
      <c r="AB31" s="150"/>
      <c r="AC31" s="75">
        <f t="shared" si="7"/>
        <v>29</v>
      </c>
      <c r="AD31" s="54">
        <v>16.82</v>
      </c>
      <c r="AE31" s="55">
        <v>345</v>
      </c>
      <c r="AF31" s="150"/>
      <c r="AG31" s="75">
        <f t="shared" si="8"/>
        <v>29</v>
      </c>
      <c r="AH31" s="54">
        <v>24.16</v>
      </c>
      <c r="AI31" s="55">
        <v>180</v>
      </c>
      <c r="AJ31" s="150">
        <v>4.4444444444444446E-2</v>
      </c>
      <c r="AK31" s="75">
        <f t="shared" si="9"/>
        <v>29</v>
      </c>
      <c r="AL31" s="54"/>
      <c r="AM31" s="55"/>
      <c r="AN31" s="150">
        <v>2.0833333333333332E-2</v>
      </c>
      <c r="AO31" s="75">
        <f t="shared" si="10"/>
        <v>29</v>
      </c>
      <c r="AP31" s="54"/>
      <c r="AQ31" s="55"/>
      <c r="AR31" s="150"/>
      <c r="AS31" s="75">
        <f t="shared" si="11"/>
        <v>29</v>
      </c>
      <c r="AT31" s="54">
        <v>15.969999999999999</v>
      </c>
      <c r="AU31" s="55">
        <v>81</v>
      </c>
      <c r="AV31" s="150"/>
      <c r="AW31" s="67"/>
    </row>
    <row r="32" spans="1:49" s="49" customFormat="1" ht="11.25" x14ac:dyDescent="0.2">
      <c r="A32" s="73">
        <f t="shared" si="0"/>
        <v>30</v>
      </c>
      <c r="B32" s="54">
        <v>12.8</v>
      </c>
      <c r="C32" s="55">
        <v>78</v>
      </c>
      <c r="D32" s="150"/>
      <c r="E32" s="75"/>
      <c r="F32" s="54"/>
      <c r="G32" s="55"/>
      <c r="H32" s="150"/>
      <c r="I32" s="75">
        <f t="shared" si="2"/>
        <v>30</v>
      </c>
      <c r="J32" s="54">
        <v>43.1</v>
      </c>
      <c r="K32" s="55">
        <v>164</v>
      </c>
      <c r="L32" s="150"/>
      <c r="M32" s="75">
        <f t="shared" si="3"/>
        <v>30</v>
      </c>
      <c r="N32" s="54"/>
      <c r="O32" s="55"/>
      <c r="P32" s="150"/>
      <c r="Q32" s="75">
        <f t="shared" si="4"/>
        <v>30</v>
      </c>
      <c r="R32" s="54">
        <v>31.26</v>
      </c>
      <c r="S32" s="55">
        <v>862</v>
      </c>
      <c r="T32" s="150"/>
      <c r="U32" s="75">
        <f t="shared" si="5"/>
        <v>30</v>
      </c>
      <c r="V32" s="54">
        <v>88.02</v>
      </c>
      <c r="W32" s="55">
        <v>1087</v>
      </c>
      <c r="X32" s="150"/>
      <c r="Y32" s="75">
        <f t="shared" si="6"/>
        <v>30</v>
      </c>
      <c r="Z32" s="54">
        <v>15.25</v>
      </c>
      <c r="AA32" s="55">
        <v>83</v>
      </c>
      <c r="AB32" s="150"/>
      <c r="AC32" s="75">
        <f t="shared" si="7"/>
        <v>30</v>
      </c>
      <c r="AD32" s="54">
        <v>27.2</v>
      </c>
      <c r="AE32" s="55">
        <v>260</v>
      </c>
      <c r="AF32" s="150"/>
      <c r="AG32" s="75">
        <f t="shared" si="8"/>
        <v>30</v>
      </c>
      <c r="AH32" s="54">
        <v>14.6</v>
      </c>
      <c r="AI32" s="55">
        <v>110</v>
      </c>
      <c r="AJ32" s="150"/>
      <c r="AK32" s="75">
        <f t="shared" si="9"/>
        <v>30</v>
      </c>
      <c r="AL32" s="54">
        <v>10.1</v>
      </c>
      <c r="AM32" s="55">
        <v>306</v>
      </c>
      <c r="AN32" s="150"/>
      <c r="AO32" s="75">
        <f t="shared" si="10"/>
        <v>30</v>
      </c>
      <c r="AP32" s="54"/>
      <c r="AQ32" s="55"/>
      <c r="AR32" s="150"/>
      <c r="AS32" s="75">
        <f t="shared" si="11"/>
        <v>30</v>
      </c>
      <c r="AT32" s="54">
        <v>13.86</v>
      </c>
      <c r="AU32" s="55">
        <v>68</v>
      </c>
      <c r="AV32" s="150"/>
      <c r="AW32" s="67"/>
    </row>
    <row r="33" spans="1:49" s="49" customFormat="1" ht="11.25" x14ac:dyDescent="0.2">
      <c r="A33" s="74">
        <f t="shared" si="0"/>
        <v>31</v>
      </c>
      <c r="B33" s="62"/>
      <c r="C33" s="63"/>
      <c r="D33" s="151"/>
      <c r="E33" s="76"/>
      <c r="F33" s="62"/>
      <c r="G33" s="63"/>
      <c r="H33" s="151"/>
      <c r="I33" s="76">
        <f t="shared" si="2"/>
        <v>31</v>
      </c>
      <c r="J33" s="62">
        <v>38.4</v>
      </c>
      <c r="K33" s="63">
        <v>220</v>
      </c>
      <c r="L33" s="151"/>
      <c r="M33" s="76"/>
      <c r="N33" s="62"/>
      <c r="O33" s="63"/>
      <c r="P33" s="151"/>
      <c r="Q33" s="76">
        <f t="shared" si="4"/>
        <v>31</v>
      </c>
      <c r="R33" s="62"/>
      <c r="S33" s="63"/>
      <c r="T33" s="151"/>
      <c r="U33" s="76"/>
      <c r="V33" s="62"/>
      <c r="W33" s="63"/>
      <c r="X33" s="151"/>
      <c r="Y33" s="76">
        <f t="shared" si="6"/>
        <v>31</v>
      </c>
      <c r="Z33" s="62">
        <v>14.36</v>
      </c>
      <c r="AA33" s="63">
        <v>343</v>
      </c>
      <c r="AB33" s="151"/>
      <c r="AC33" s="76">
        <f t="shared" si="7"/>
        <v>31</v>
      </c>
      <c r="AD33" s="62">
        <v>47.74</v>
      </c>
      <c r="AE33" s="63">
        <v>355</v>
      </c>
      <c r="AF33" s="151"/>
      <c r="AG33" s="76"/>
      <c r="AH33" s="62"/>
      <c r="AI33" s="63"/>
      <c r="AJ33" s="151"/>
      <c r="AK33" s="76">
        <f t="shared" si="9"/>
        <v>31</v>
      </c>
      <c r="AL33" s="62">
        <v>12.76</v>
      </c>
      <c r="AM33" s="63">
        <v>73</v>
      </c>
      <c r="AN33" s="151"/>
      <c r="AO33" s="76"/>
      <c r="AP33" s="62"/>
      <c r="AQ33" s="63"/>
      <c r="AR33" s="151"/>
      <c r="AS33" s="76">
        <f t="shared" si="11"/>
        <v>31</v>
      </c>
      <c r="AT33" s="62">
        <v>30.000000000000004</v>
      </c>
      <c r="AU33" s="63">
        <v>170</v>
      </c>
      <c r="AV33" s="151"/>
      <c r="AW33" s="67"/>
    </row>
    <row r="34" spans="1:49" s="49" customFormat="1" ht="11.25" x14ac:dyDescent="0.2">
      <c r="A34" s="45" t="s">
        <v>92</v>
      </c>
      <c r="B34" s="47">
        <f>SUM(B3:B33)</f>
        <v>442.55999999999995</v>
      </c>
      <c r="C34" s="48">
        <f>SUM(C3:C33)</f>
        <v>9242</v>
      </c>
      <c r="D34" s="79">
        <f>(SUM(D3:D33)/D39)*C39</f>
        <v>14.399999999999999</v>
      </c>
      <c r="E34" s="65"/>
      <c r="F34" s="47">
        <f>SUM(F3:F33)</f>
        <v>235.4</v>
      </c>
      <c r="G34" s="48">
        <f>SUM(G3:G33)</f>
        <v>1667</v>
      </c>
      <c r="H34" s="79">
        <f>(SUM(H3:H33)/D39)*C39</f>
        <v>62.8</v>
      </c>
      <c r="I34" s="65"/>
      <c r="J34" s="47">
        <f>SUM(J3:J33)</f>
        <v>557.75</v>
      </c>
      <c r="K34" s="48">
        <f>SUM(K3:K33)</f>
        <v>5067</v>
      </c>
      <c r="L34" s="79">
        <f>(SUM(L3:L33)/D39)*C39</f>
        <v>12</v>
      </c>
      <c r="M34" s="77"/>
      <c r="N34" s="47">
        <f>SUM(N3:N33)</f>
        <v>575.84999999999991</v>
      </c>
      <c r="O34" s="48">
        <f>SUM(O3:O33)</f>
        <v>6423</v>
      </c>
      <c r="P34" s="79">
        <f>(SUM(P3:P33)/D39)*C39</f>
        <v>0</v>
      </c>
      <c r="Q34" s="65"/>
      <c r="R34" s="47">
        <f>SUM(R3:R33)</f>
        <v>371.55000000000007</v>
      </c>
      <c r="S34" s="48">
        <f>SUM(S3:S33)</f>
        <v>5165</v>
      </c>
      <c r="T34" s="79">
        <f>(SUM(T3:T33)/D39)*C39</f>
        <v>66.800000000000011</v>
      </c>
      <c r="U34" s="65"/>
      <c r="V34" s="47">
        <f>SUM(V3:V33)</f>
        <v>919.33999999999992</v>
      </c>
      <c r="W34" s="48">
        <f>SUM(W3:W33)</f>
        <v>12660</v>
      </c>
      <c r="X34" s="79">
        <f>(SUM(X3:X33)/D39)*C39</f>
        <v>24</v>
      </c>
      <c r="Y34" s="65"/>
      <c r="Z34" s="47">
        <f>SUM(Z3:Z33)</f>
        <v>772.63</v>
      </c>
      <c r="AA34" s="48">
        <f>SUM(AA3:AA33)</f>
        <v>12278</v>
      </c>
      <c r="AB34" s="79">
        <f>(SUM(AB3:AB33)/D39)*C39</f>
        <v>50.000000000000014</v>
      </c>
      <c r="AC34" s="65"/>
      <c r="AD34" s="47">
        <f>SUM(AD3:AD33)</f>
        <v>735.21000000000015</v>
      </c>
      <c r="AE34" s="48">
        <f>SUM(AE3:AE33)</f>
        <v>8618</v>
      </c>
      <c r="AF34" s="79">
        <f>(SUM(AF3:AF33)/D39)*C39</f>
        <v>0</v>
      </c>
      <c r="AG34" s="65"/>
      <c r="AH34" s="54">
        <f>SUM(AH3:AH33)</f>
        <v>858.01</v>
      </c>
      <c r="AI34" s="48">
        <f>SUM(AI3:AI33)</f>
        <v>10272</v>
      </c>
      <c r="AJ34" s="79">
        <f>(SUM(AJ3:AJ33)/D39)*C39</f>
        <v>25.600000000000005</v>
      </c>
      <c r="AK34" s="65"/>
      <c r="AL34" s="47">
        <f>SUM(AL3:AL33)</f>
        <v>699.42000000000007</v>
      </c>
      <c r="AM34" s="48">
        <f>SUM(AM3:AM33)</f>
        <v>7480</v>
      </c>
      <c r="AN34" s="79">
        <f>(SUM(AN3:AN33)/D39)*C39</f>
        <v>32.4</v>
      </c>
      <c r="AO34" s="65"/>
      <c r="AP34" s="47">
        <f>SUM(AP3:AP33)</f>
        <v>527.09</v>
      </c>
      <c r="AQ34" s="48">
        <f>SUM(AQ3:AQ33)</f>
        <v>4220</v>
      </c>
      <c r="AR34" s="79">
        <f>(SUM(AR3:AR33)/D39)*C39</f>
        <v>0</v>
      </c>
      <c r="AS34" s="65"/>
      <c r="AT34" s="47">
        <f>SUM(AT3:AT33)</f>
        <v>465.05999999999995</v>
      </c>
      <c r="AU34" s="48">
        <f>SUM(AU3:AU33)</f>
        <v>3960</v>
      </c>
      <c r="AV34" s="79">
        <f>(SUM(AV3:AV33)/D39)*C39</f>
        <v>0</v>
      </c>
      <c r="AW34" s="67"/>
    </row>
    <row r="35" spans="1:49" s="52" customFormat="1" ht="11.25" x14ac:dyDescent="0.2">
      <c r="A35" s="46" t="s">
        <v>93</v>
      </c>
      <c r="B35" s="50">
        <f>B34</f>
        <v>442.55999999999995</v>
      </c>
      <c r="C35" s="51">
        <f>C34</f>
        <v>9242</v>
      </c>
      <c r="D35" s="80">
        <f>D34</f>
        <v>14.399999999999999</v>
      </c>
      <c r="E35" s="66"/>
      <c r="F35" s="50">
        <f>F34+B35</f>
        <v>677.95999999999992</v>
      </c>
      <c r="G35" s="51">
        <f>G34+C35</f>
        <v>10909</v>
      </c>
      <c r="H35" s="80">
        <f>H34+D35</f>
        <v>77.199999999999989</v>
      </c>
      <c r="I35" s="66"/>
      <c r="J35" s="50">
        <f>J34+F35</f>
        <v>1235.71</v>
      </c>
      <c r="K35" s="51">
        <f>K34+G35</f>
        <v>15976</v>
      </c>
      <c r="L35" s="80">
        <f>L34+H35</f>
        <v>89.199999999999989</v>
      </c>
      <c r="M35" s="66"/>
      <c r="N35" s="50">
        <f>N34+J35</f>
        <v>1811.56</v>
      </c>
      <c r="O35" s="51">
        <f>O34+K35</f>
        <v>22399</v>
      </c>
      <c r="P35" s="80">
        <f>P34+L35</f>
        <v>89.199999999999989</v>
      </c>
      <c r="Q35" s="66"/>
      <c r="R35" s="50">
        <f>R34+N35</f>
        <v>2183.11</v>
      </c>
      <c r="S35" s="51">
        <f>S34+O35</f>
        <v>27564</v>
      </c>
      <c r="T35" s="80">
        <f>T34+P35</f>
        <v>156</v>
      </c>
      <c r="U35" s="66"/>
      <c r="V35" s="50">
        <f>V34+R35</f>
        <v>3102.45</v>
      </c>
      <c r="W35" s="51">
        <f>W34+S35</f>
        <v>40224</v>
      </c>
      <c r="X35" s="80">
        <f>X34+T35</f>
        <v>180</v>
      </c>
      <c r="Y35" s="66"/>
      <c r="Z35" s="50">
        <f>Z34+V35</f>
        <v>3875.08</v>
      </c>
      <c r="AA35" s="51">
        <f>AA34+W35</f>
        <v>52502</v>
      </c>
      <c r="AB35" s="80">
        <f>AB34+X35</f>
        <v>230</v>
      </c>
      <c r="AC35" s="66"/>
      <c r="AD35" s="50">
        <f>AD34+Z35</f>
        <v>4610.29</v>
      </c>
      <c r="AE35" s="51">
        <f>AE34+AA35</f>
        <v>61120</v>
      </c>
      <c r="AF35" s="80">
        <f>AF34+AB35</f>
        <v>230</v>
      </c>
      <c r="AG35" s="66"/>
      <c r="AH35" s="86">
        <f>AH34+AD35</f>
        <v>5468.3</v>
      </c>
      <c r="AI35" s="51">
        <f>AI34+AE35</f>
        <v>71392</v>
      </c>
      <c r="AJ35" s="80">
        <f>AJ34+AF35</f>
        <v>255.6</v>
      </c>
      <c r="AK35" s="66"/>
      <c r="AL35" s="50">
        <f>AL34+AH35</f>
        <v>6167.72</v>
      </c>
      <c r="AM35" s="51">
        <f>AM34+AI35</f>
        <v>78872</v>
      </c>
      <c r="AN35" s="80">
        <f>AN34+AJ35</f>
        <v>288</v>
      </c>
      <c r="AO35" s="66"/>
      <c r="AP35" s="50">
        <f>AP34+AL35</f>
        <v>6694.81</v>
      </c>
      <c r="AQ35" s="51">
        <f>AQ34+AM35</f>
        <v>83092</v>
      </c>
      <c r="AR35" s="80">
        <f>AR34+AN35</f>
        <v>288</v>
      </c>
      <c r="AS35" s="66"/>
      <c r="AT35" s="50">
        <f>AT34+AP35</f>
        <v>7159.8700000000008</v>
      </c>
      <c r="AU35" s="51">
        <f>AU34+AQ35</f>
        <v>87052</v>
      </c>
      <c r="AV35" s="80">
        <f>AV34+AR35</f>
        <v>288</v>
      </c>
      <c r="AW35" s="92"/>
    </row>
    <row r="36" spans="1:49" s="49" customFormat="1" ht="11.25" x14ac:dyDescent="0.2">
      <c r="A36" s="49" t="s">
        <v>149</v>
      </c>
      <c r="B36" s="54">
        <f>MAX(B3:B33)</f>
        <v>37.299999999999997</v>
      </c>
      <c r="C36" s="55">
        <f>MAX(C3:C33)</f>
        <v>1020</v>
      </c>
      <c r="D36" s="152">
        <f>MAX(D3:D33)</f>
        <v>2.4999999999999998E-2</v>
      </c>
      <c r="E36" s="67"/>
      <c r="F36" s="54">
        <f>MAX(F3:F33)</f>
        <v>38.9</v>
      </c>
      <c r="G36" s="55">
        <f>MAX(G3:G33)</f>
        <v>446</v>
      </c>
      <c r="H36" s="152">
        <f>MAX(H3:H33)</f>
        <v>4.2361111111111106E-2</v>
      </c>
      <c r="I36" s="67"/>
      <c r="J36" s="54">
        <f>MAX(J3:J33)</f>
        <v>62.3</v>
      </c>
      <c r="K36" s="55">
        <f>MAX(K3:K33)</f>
        <v>766</v>
      </c>
      <c r="L36" s="152">
        <f>MAX(L3:L33)</f>
        <v>2.0833333333333332E-2</v>
      </c>
      <c r="M36" s="67"/>
      <c r="N36" s="54">
        <f>MAX(N3:N33)</f>
        <v>85.45</v>
      </c>
      <c r="O36" s="55">
        <f>MAX(O3:O33)</f>
        <v>1128</v>
      </c>
      <c r="P36" s="152">
        <f>MAX(P3:P33)</f>
        <v>0</v>
      </c>
      <c r="Q36" s="67"/>
      <c r="R36" s="54">
        <f>MAX(R3:R33)</f>
        <v>109.87</v>
      </c>
      <c r="S36" s="55">
        <f>MAX(S3:S33)</f>
        <v>1755</v>
      </c>
      <c r="T36" s="152">
        <f>MAX(T3:T33)</f>
        <v>6.5277777777777782E-2</v>
      </c>
      <c r="U36" s="67"/>
      <c r="V36" s="54">
        <f>MAX(V3:V33)</f>
        <v>133.09</v>
      </c>
      <c r="W36" s="55">
        <f>MAX(W3:W33)</f>
        <v>1445</v>
      </c>
      <c r="X36" s="152">
        <f>MAX(X3:X33)</f>
        <v>4.1666666666666664E-2</v>
      </c>
      <c r="Y36" s="67"/>
      <c r="Z36" s="54">
        <f>MAX(Z3:Z33)</f>
        <v>100.98</v>
      </c>
      <c r="AA36" s="314">
        <f>MAX(AA3:AA33)</f>
        <v>2480</v>
      </c>
      <c r="AB36" s="152">
        <f>MAX(AB3:AB33)</f>
        <v>8.6805555555555566E-2</v>
      </c>
      <c r="AC36" s="67"/>
      <c r="AD36" s="54">
        <f>MAX(AD3:AD33)</f>
        <v>84.98</v>
      </c>
      <c r="AE36" s="55">
        <f>MAX(AE3:AE33)</f>
        <v>983</v>
      </c>
      <c r="AF36" s="152">
        <f>MAX(AF3:AF33)</f>
        <v>0</v>
      </c>
      <c r="AG36" s="67"/>
      <c r="AH36" s="315">
        <f>MAX(AH3:AH33)</f>
        <v>85.45</v>
      </c>
      <c r="AI36" s="55">
        <f>MAX(AI3:AI33)</f>
        <v>1310</v>
      </c>
      <c r="AJ36" s="152">
        <f>MAX(AJ3:AJ33)</f>
        <v>4.4444444444444446E-2</v>
      </c>
      <c r="AK36" s="67"/>
      <c r="AL36" s="54">
        <f>MAX(AL3:AL33)</f>
        <v>65.8</v>
      </c>
      <c r="AM36" s="55">
        <f>MAX(AM3:AM33)</f>
        <v>1080</v>
      </c>
      <c r="AN36" s="152">
        <f>MAX(AN3:AN33)</f>
        <v>3.5416666666666666E-2</v>
      </c>
      <c r="AO36" s="67"/>
      <c r="AP36" s="54">
        <f>MAX(AP3:AP33)</f>
        <v>51.019999999999996</v>
      </c>
      <c r="AQ36" s="55">
        <f>MAX(AQ3:AQ33)</f>
        <v>584</v>
      </c>
      <c r="AR36" s="152">
        <f>MAX(AR3:AR33)</f>
        <v>0</v>
      </c>
      <c r="AS36" s="67"/>
      <c r="AT36" s="54">
        <f>MAX(AT3:AT33)</f>
        <v>60.21</v>
      </c>
      <c r="AU36" s="55">
        <f>MAX(AU3:AU33)</f>
        <v>517</v>
      </c>
      <c r="AV36" s="152">
        <f>MAX(AV3:AV33)</f>
        <v>0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17.702399999999997</v>
      </c>
      <c r="C37" s="55">
        <f>IFERROR(AVERAGE(C3:C33),0)</f>
        <v>369.68</v>
      </c>
      <c r="D37" s="152">
        <f>IFERROR(AVERAGE(D3:D33),0)</f>
        <v>2.4999999999999998E-2</v>
      </c>
      <c r="E37" s="67"/>
      <c r="F37" s="54">
        <f>IFERROR(AVERAGE(F3:F33),0)</f>
        <v>19.616666666666667</v>
      </c>
      <c r="G37" s="55">
        <f>IFERROR(AVERAGE(G3:G33),0)</f>
        <v>138.91666666666666</v>
      </c>
      <c r="H37" s="152">
        <f>IFERROR(AVERAGE(H3:H33),0)</f>
        <v>3.6342592592592593E-2</v>
      </c>
      <c r="I37" s="67"/>
      <c r="J37" s="54">
        <f>IFERROR(AVERAGE(J3:J33),0)</f>
        <v>25.352272727272727</v>
      </c>
      <c r="K37" s="55">
        <f>IFERROR(AVERAGE(K3:K33),0)</f>
        <v>230.31818181818181</v>
      </c>
      <c r="L37" s="152">
        <f>IFERROR(AVERAGE(L3:L33),0)</f>
        <v>2.0833333333333332E-2</v>
      </c>
      <c r="M37" s="67"/>
      <c r="N37" s="54">
        <f>IFERROR(AVERAGE(N3:N33),0)</f>
        <v>26.174999999999997</v>
      </c>
      <c r="O37" s="55">
        <f>IFERROR(AVERAGE(O3:O33),0)</f>
        <v>291.95454545454544</v>
      </c>
      <c r="P37" s="152">
        <f>IFERROR(AVERAGE(P3:P33),0)</f>
        <v>0</v>
      </c>
      <c r="Q37" s="67"/>
      <c r="R37" s="54">
        <f>IFERROR(AVERAGE(R3:R33),0)</f>
        <v>26.539285714285718</v>
      </c>
      <c r="S37" s="55">
        <f>IFERROR(AVERAGE(S3:S33),0)</f>
        <v>368.92857142857144</v>
      </c>
      <c r="T37" s="152">
        <f>IFERROR(AVERAGE(T3:T33),0)</f>
        <v>3.8657407407407411E-2</v>
      </c>
      <c r="U37" s="67"/>
      <c r="V37" s="54">
        <f>IFERROR(AVERAGE(V3:V33),0)</f>
        <v>39.971304347826084</v>
      </c>
      <c r="W37" s="55">
        <f>IFERROR(AVERAGE(W3:W33),0)</f>
        <v>550.43478260869563</v>
      </c>
      <c r="X37" s="152">
        <f>IFERROR(AVERAGE(X3:X33),0)</f>
        <v>4.1666666666666664E-2</v>
      </c>
      <c r="Y37" s="67"/>
      <c r="Z37" s="54">
        <f>IFERROR(AVERAGE(Z3:Z33),0)</f>
        <v>25.754333333333332</v>
      </c>
      <c r="AA37" s="55">
        <f>IFERROR(AVERAGE(AA3:AA33),0)</f>
        <v>409.26666666666665</v>
      </c>
      <c r="AB37" s="152">
        <f>IFERROR(AVERAGE(AB3:AB33),0)</f>
        <v>8.6805555555555566E-2</v>
      </c>
      <c r="AC37" s="67"/>
      <c r="AD37" s="54">
        <f>IFERROR(AVERAGE(AD3:AD33),0)</f>
        <v>26.257500000000004</v>
      </c>
      <c r="AE37" s="55">
        <f>IFERROR(AVERAGE(AE3:AE33),0)</f>
        <v>307.78571428571428</v>
      </c>
      <c r="AF37" s="152">
        <f>IFERROR(AVERAGE(AF3:AF33),0)</f>
        <v>0</v>
      </c>
      <c r="AG37" s="67"/>
      <c r="AH37" s="54">
        <f>IFERROR(AVERAGE(AH3:AH33),0)</f>
        <v>28.600333333333332</v>
      </c>
      <c r="AI37" s="55">
        <f>IFERROR(AVERAGE(AI3:AI33),0)</f>
        <v>342.4</v>
      </c>
      <c r="AJ37" s="152">
        <f>IFERROR(AVERAGE(AJ3:AJ33),0)</f>
        <v>4.4444444444444446E-2</v>
      </c>
      <c r="AK37" s="67"/>
      <c r="AL37" s="54">
        <f>IFERROR(AVERAGE(AL3:AL33),0)</f>
        <v>23.314000000000004</v>
      </c>
      <c r="AM37" s="55">
        <f>IFERROR(AVERAGE(AM3:AM33),0)</f>
        <v>249.33333333333334</v>
      </c>
      <c r="AN37" s="152">
        <f>IFERROR(AVERAGE(AN3:AN33),0)</f>
        <v>2.8124999999999997E-2</v>
      </c>
      <c r="AO37" s="67"/>
      <c r="AP37" s="54">
        <f>IFERROR(AVERAGE(AP3:AP33),0)</f>
        <v>18.824642857142859</v>
      </c>
      <c r="AQ37" s="55">
        <f>IFERROR(AVERAGE(AQ3:AQ33),0)</f>
        <v>150.71428571428572</v>
      </c>
      <c r="AR37" s="152">
        <f>IFERROR(AVERAGE(AR3:AR33),0)</f>
        <v>0</v>
      </c>
      <c r="AS37" s="67"/>
      <c r="AT37" s="54">
        <f>IFERROR(AVERAGE(AT3:AT33),0)</f>
        <v>19.377499999999998</v>
      </c>
      <c r="AU37" s="55">
        <f>IFERROR(AVERAGE(AU3:AU33),0)</f>
        <v>165</v>
      </c>
      <c r="AV37" s="152">
        <f>IFERROR(AVERAGE(AV3:AV33),0)</f>
        <v>0</v>
      </c>
      <c r="AW37" s="67"/>
    </row>
    <row r="38" spans="1:49" s="49" customFormat="1" ht="11.25" x14ac:dyDescent="0.2">
      <c r="A38" s="49" t="s">
        <v>236</v>
      </c>
      <c r="B38" s="54">
        <f>B34-'12'!B34</f>
        <v>15.389999999999816</v>
      </c>
      <c r="C38" s="78">
        <f>C34-'12'!C34</f>
        <v>5542</v>
      </c>
      <c r="D38" s="105">
        <f>IF(B34+D34=0,0,D34/(B34+D34))</f>
        <v>3.1512605042016806E-2</v>
      </c>
      <c r="E38" s="67"/>
      <c r="F38" s="54">
        <f>F34-'12'!F34</f>
        <v>-249.35999999999993</v>
      </c>
      <c r="G38" s="78">
        <f>G34-'12'!G34</f>
        <v>-2399</v>
      </c>
      <c r="H38" s="105">
        <f>IF(F34+H34=0,0,H34/(F34+H34))</f>
        <v>0.21059691482226695</v>
      </c>
      <c r="I38" s="67"/>
      <c r="J38" s="54">
        <f>J34-'12'!J34</f>
        <v>-72.6400000000001</v>
      </c>
      <c r="K38" s="78">
        <f>K34-'12'!K34</f>
        <v>-1347</v>
      </c>
      <c r="L38" s="105">
        <f>IF(J34+L34=0,0,L34/(J34+L34))</f>
        <v>2.1061869240895131E-2</v>
      </c>
      <c r="M38" s="67"/>
      <c r="N38" s="54">
        <f>N34-'12'!N34</f>
        <v>-123.06000000000006</v>
      </c>
      <c r="O38" s="78">
        <f>O34-'12'!O34</f>
        <v>-1891</v>
      </c>
      <c r="P38" s="105">
        <f>IF(N34+P34=0,0,P34/(N34+P34))</f>
        <v>0</v>
      </c>
      <c r="Q38" s="67"/>
      <c r="R38" s="54">
        <f>R34-'12'!R34</f>
        <v>-522.70500000000015</v>
      </c>
      <c r="S38" s="78">
        <f>S34-'12'!S34</f>
        <v>-7186</v>
      </c>
      <c r="T38" s="105">
        <f>IF(R34+T34=0,0,T34/(R34+T34))</f>
        <v>0.15238964297935439</v>
      </c>
      <c r="U38" s="67"/>
      <c r="V38" s="54">
        <f>V34-'12'!V34</f>
        <v>51.580000000000155</v>
      </c>
      <c r="W38" s="78">
        <f>W34-'12'!W34</f>
        <v>3655</v>
      </c>
      <c r="X38" s="105">
        <f>IF(V34+X34=0,0,X34/(V34+X34))</f>
        <v>2.5441516314372338E-2</v>
      </c>
      <c r="Y38" s="67"/>
      <c r="Z38" s="54">
        <f>Z34-'12'!Z34</f>
        <v>-83.090000000000032</v>
      </c>
      <c r="AA38" s="78">
        <f>AA34-'12'!AA34</f>
        <v>1988</v>
      </c>
      <c r="AB38" s="105">
        <f>IF(Z34+AB34=0,0,AB34/(Z34+AB34))</f>
        <v>6.0780666885477085E-2</v>
      </c>
      <c r="AC38" s="67"/>
      <c r="AD38" s="54">
        <f>AD34-'12'!AD34</f>
        <v>-281.73999999999978</v>
      </c>
      <c r="AE38" s="78">
        <f>AE34-'12'!AE34</f>
        <v>-4843</v>
      </c>
      <c r="AF38" s="105">
        <f>IF(AD34+AF34=0,0,AF34/(AD34+AF34))</f>
        <v>0</v>
      </c>
      <c r="AG38" s="67"/>
      <c r="AH38" s="54">
        <f>AH34-'12'!AH34</f>
        <v>439.95</v>
      </c>
      <c r="AI38" s="78">
        <f>AI34-'12'!AI34</f>
        <v>5637</v>
      </c>
      <c r="AJ38" s="105">
        <f>IF(AH34+AJ34=0,0,AJ34/(AH34+AJ34))</f>
        <v>2.8972057808309099E-2</v>
      </c>
      <c r="AK38" s="67"/>
      <c r="AL38" s="54">
        <f>AL34-'12'!AL34</f>
        <v>49.330000000000155</v>
      </c>
      <c r="AM38" s="78">
        <f>AM34-'12'!AM34</f>
        <v>87</v>
      </c>
      <c r="AN38" s="105">
        <f>IF(AL34+AN34=0,0,AN34/(AL34+AN34))</f>
        <v>4.427318192998278E-2</v>
      </c>
      <c r="AO38" s="67"/>
      <c r="AP38" s="54">
        <f>AP34-'12'!AP34</f>
        <v>58.409999999999968</v>
      </c>
      <c r="AQ38" s="78">
        <f>AQ34-'12'!AQ34</f>
        <v>-336</v>
      </c>
      <c r="AR38" s="105">
        <f>IF(AP34+AR34=0,0,AR34/(AP34+AR34))</f>
        <v>0</v>
      </c>
      <c r="AS38" s="67"/>
      <c r="AT38" s="54">
        <f>AT34-'12'!AT34</f>
        <v>70.129999999999939</v>
      </c>
      <c r="AU38" s="78">
        <f>AU34-'12'!AU34</f>
        <v>-1118</v>
      </c>
      <c r="AV38" s="105">
        <f>IF(AT34+AV34=0,0,AV34/(AT34+AV34))</f>
        <v>0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H39" s="169"/>
      <c r="I39" s="168"/>
      <c r="J39" s="50">
        <f>SUM(B34,F34,J34)</f>
        <v>1235.71</v>
      </c>
      <c r="K39" s="51">
        <f t="shared" ref="K39:L39" si="12">SUM(C34,G34,K34)</f>
        <v>15976</v>
      </c>
      <c r="L39" s="170">
        <f t="shared" si="12"/>
        <v>89.199999999999989</v>
      </c>
      <c r="M39" s="168"/>
      <c r="P39" s="169"/>
      <c r="Q39" s="168"/>
      <c r="T39" s="169"/>
      <c r="U39" s="168"/>
      <c r="V39" s="50">
        <f>SUM(N34,R34,V34)</f>
        <v>1866.7399999999998</v>
      </c>
      <c r="W39" s="51">
        <f>SUM(O34,S34,W34)</f>
        <v>24248</v>
      </c>
      <c r="X39" s="170">
        <f>SUM(P34,T34,X34)</f>
        <v>90.800000000000011</v>
      </c>
      <c r="Y39" s="168"/>
      <c r="AB39" s="169"/>
      <c r="AC39" s="168"/>
      <c r="AF39" s="169"/>
      <c r="AG39" s="168"/>
      <c r="AH39" s="86">
        <f>SUM(Z34,AD34,AH34)</f>
        <v>2365.8500000000004</v>
      </c>
      <c r="AI39" s="51">
        <f>SUM(AA34,AE34,AI34)</f>
        <v>31168</v>
      </c>
      <c r="AJ39" s="170">
        <f>SUM(AB34,AF34,AJ34)</f>
        <v>75.600000000000023</v>
      </c>
      <c r="AK39" s="168"/>
      <c r="AN39" s="169"/>
      <c r="AO39" s="168"/>
      <c r="AR39" s="169"/>
      <c r="AS39" s="168"/>
      <c r="AT39" s="50">
        <f>SUM(AL34,AP34,AT34)</f>
        <v>1691.5700000000002</v>
      </c>
      <c r="AU39" s="51">
        <f>SUM(AM34,AQ34,AU34)</f>
        <v>15660</v>
      </c>
      <c r="AV39" s="170">
        <f>SUM(AN34,AR34,AV34)</f>
        <v>32.4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20.890446464646462</v>
      </c>
      <c r="K40" s="55">
        <f>IFERROR(AVERAGE(C37,G37,K37),0)</f>
        <v>246.30494949494951</v>
      </c>
      <c r="L40" s="152">
        <f>IFERROR(AVERAGE(D37,H37,L37),0)</f>
        <v>2.7391975308641972E-2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30.8951966873706</v>
      </c>
      <c r="W40" s="55">
        <f>IFERROR(AVERAGE(O37,S37,W37),0)</f>
        <v>403.77263316393754</v>
      </c>
      <c r="X40" s="152">
        <f>IFERROR(AVERAGE(P37,T37,X37),0)</f>
        <v>2.6774691358024693E-2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26.870722222222224</v>
      </c>
      <c r="AI40" s="55">
        <f>IFERROR(AVERAGE(AA37,AE37,AI37),0)</f>
        <v>353.15079365079356</v>
      </c>
      <c r="AJ40" s="152">
        <f>IFERROR(AVERAGE(AB37,AF37,AJ37),0)</f>
        <v>4.3750000000000004E-2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20.505380952380953</v>
      </c>
      <c r="AU40" s="55">
        <f>IFERROR(AVERAGE(AM37,AQ37,AU37),0)</f>
        <v>188.34920634920636</v>
      </c>
      <c r="AV40" s="152">
        <f>IFERROR(AVERAGE(AN37,AR37,AV37),0)</f>
        <v>9.3749999999999997E-3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10</v>
      </c>
      <c r="C41" s="96">
        <f>RANK(C34,(C34,G34,K34,O34,S34,W34,AA34,AE34,AI34,AM34,AQ34,AU34))</f>
        <v>4</v>
      </c>
      <c r="D41" s="102">
        <f>RANK(D34,(D34,H34,L34,P34,T34,X34,AB34,AF34,AJ34,AN34,AR34,AV34))</f>
        <v>7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12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7</v>
      </c>
      <c r="K41" s="96">
        <f>RANK(K34,(C34,G34,K34,O34,S34,W34,AA34,AE34,AI34,AM34,AQ34,AU34))</f>
        <v>9</v>
      </c>
      <c r="L41" s="102">
        <f>RANK(L34,(D34,H34,L34,P34,T34,X34,AB34,AF34,AJ34,AN34,AR34,AV34))</f>
        <v>8</v>
      </c>
      <c r="M41" s="103"/>
      <c r="N41" s="95">
        <f>RANK(N34,(B34,F34,J34,N34,R34,V34,Z34,AD34,AH34,AL34,AP34,AT34))</f>
        <v>6</v>
      </c>
      <c r="O41" s="96">
        <f>RANK(O34,(C34,G34,K34,O34,S34,W34,AA34,AE34,AI34,AM34,AQ34,AU34))</f>
        <v>7</v>
      </c>
      <c r="P41" s="102">
        <f>RANK(P34,(D34,H34,L34,P34,T34,X34,AB34,AF34,AJ34,AN34,AR34,AV34))</f>
        <v>9</v>
      </c>
      <c r="Q41" s="103"/>
      <c r="R41" s="95">
        <f>RANK(R34,(B34,F34,J34,N34,R34,V34,Z34,AD34,AH34,AL34,AP34,AT34))</f>
        <v>11</v>
      </c>
      <c r="S41" s="96">
        <f>RANK(S34,(C34,G34,K34,O34,S34,W34,AA34,AE34,AI34,AM34,AQ34,AU34))</f>
        <v>8</v>
      </c>
      <c r="T41" s="102">
        <f>RANK(T34,(D34,H34,L34,P34,T34,X34,AB34,AF34,AJ34,AN34,AR34,AV34))</f>
        <v>1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1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3</v>
      </c>
      <c r="AA41" s="96">
        <f>RANK(AA34,(C34,G34,K34,O34,S34,W34,AA34,AE34,AI34,AM34,AQ34,AU34))</f>
        <v>2</v>
      </c>
      <c r="AB41" s="102">
        <f>RANK(AB34,(D34,H34,L34,P34,T34,X34,AB34,AF34,AJ34,AN34,AR34,AV34))</f>
        <v>3</v>
      </c>
      <c r="AC41" s="103"/>
      <c r="AD41" s="95">
        <f>RANK(AD34,(B34,F34,J34,N34,R34,V34,Z34,AD34,AH34,AL34,AP34,AT34))</f>
        <v>4</v>
      </c>
      <c r="AE41" s="96">
        <f>RANK(AE34,(C34,G34,K34,O34,S34,W34,AA34,AE34,AI34,AM34,AQ34,AU34))</f>
        <v>5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2</v>
      </c>
      <c r="AI41" s="96">
        <f>RANK(AI34,(C34,G34,K34,O34,S34,W34,AA34,AE34,AI34,AM34,AQ34,AU34))</f>
        <v>3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5</v>
      </c>
      <c r="AM41" s="96">
        <f>RANK(AM34,(C34,G34,K34,O34,S34,W34,AA34,AE34,AI34,AM34,AQ34,AU34))</f>
        <v>6</v>
      </c>
      <c r="AN41" s="102">
        <f>RANK(AN34,(D34,H34,L34,P34,T34,X34,AB34,AF34,AJ34,AN34,AR34,AV34))</f>
        <v>4</v>
      </c>
      <c r="AO41" s="103"/>
      <c r="AP41" s="95">
        <f>RANK(AP34,(B34,F34,J34,N34,R34,V34,Z34,AD34,AH34,AL34,AP34,AT34))</f>
        <v>8</v>
      </c>
      <c r="AQ41" s="96">
        <f>RANK(AQ34,(C34,G34,K34,O34,S34,W34,AA34,AE34,AI34,AM34,AQ34,AU34))</f>
        <v>10</v>
      </c>
      <c r="AR41" s="102">
        <f>RANK(AR34,(D34,H34,L34,P34,T34,X34,AB34,AF34,AJ34,AN34,AR34,AV34))</f>
        <v>9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11</v>
      </c>
      <c r="AV41" s="102">
        <f>RANK(AV34,(D34,H34,L34,P34,T34,X34,AB34,AF34,AJ34,AN34,AR34,AV34))</f>
        <v>9</v>
      </c>
      <c r="AW41" s="107"/>
    </row>
    <row r="42" spans="1:49" s="49" customFormat="1" ht="11.25" x14ac:dyDescent="0.2">
      <c r="A42" s="52" t="s">
        <v>214</v>
      </c>
      <c r="B42" s="86">
        <f>T1</f>
        <v>24.790436581655058</v>
      </c>
      <c r="C42" s="87">
        <f>AB1</f>
        <v>297.89439566472174</v>
      </c>
      <c r="D42" s="88"/>
      <c r="E42" s="176" t="s">
        <v>399</v>
      </c>
      <c r="F42" s="177">
        <f>SUM(J23:J33,N3:N33,R3:R33,V3:V33,Z3:Z33,AD3:AD33,AH3:AH23)</f>
        <v>4246.0399999999991</v>
      </c>
      <c r="G42" s="178">
        <f>SUM(K23:K33,O3:O32,S3:S33,W3:W32,AA3:AA33,AE3:AE33,AI3:AI23)</f>
        <v>55221</v>
      </c>
      <c r="H42" s="179"/>
      <c r="I42" s="179"/>
      <c r="J42" s="180">
        <f>IFERROR(F42/(F42+F43),0)</f>
        <v>0.59303311372971834</v>
      </c>
      <c r="K42" s="180">
        <f>IFERROR(G42/(G42+G43),0)</f>
        <v>0.63434498920185634</v>
      </c>
      <c r="L42" s="179"/>
      <c r="M42" s="259" t="s">
        <v>600</v>
      </c>
      <c r="N42" s="257">
        <v>63</v>
      </c>
      <c r="Y42" s="144"/>
      <c r="AK42" s="211" t="s">
        <v>478</v>
      </c>
      <c r="AL42" s="47">
        <f>MAX(B34,F34,J34,N34,R34,V34,Z34,AD34,AH34,AL34,AP34,AT34)</f>
        <v>919.33999999999992</v>
      </c>
      <c r="AM42" s="212">
        <f>MAX(C34,G34,K34,O34,S34,W34,AA34,AE34,AI34,AM34,AQ34,AU34)</f>
        <v>12660</v>
      </c>
      <c r="AN42" s="49" t="s">
        <v>346</v>
      </c>
      <c r="AO42" s="210" t="s">
        <v>344</v>
      </c>
      <c r="AP42" s="54">
        <f>R1-'12'!R1</f>
        <v>-159.53</v>
      </c>
      <c r="AQ42" s="78">
        <f>AF1-'12'!AF1</f>
        <v>-2033</v>
      </c>
      <c r="AR42" s="49" t="s">
        <v>345</v>
      </c>
      <c r="AS42" s="209" t="s">
        <v>344</v>
      </c>
      <c r="AT42" s="54">
        <f>I1-'12'!I1</f>
        <v>2.75</v>
      </c>
      <c r="AU42" s="78">
        <f>AN1-'12'!AN1</f>
        <v>250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19.616082191780823</v>
      </c>
      <c r="C43" s="87">
        <f>AU1/365</f>
        <v>238.49863013698629</v>
      </c>
      <c r="D43" s="88"/>
      <c r="E43" s="172" t="s">
        <v>400</v>
      </c>
      <c r="F43" s="173">
        <f>E1-F42</f>
        <v>2913.8300000000017</v>
      </c>
      <c r="G43" s="174">
        <f>AU1-G42</f>
        <v>31831</v>
      </c>
      <c r="H43" s="175"/>
      <c r="I43" s="175"/>
      <c r="J43" s="181">
        <f>IFERROR(F43/(F42+F43),0)</f>
        <v>0.40696688627028166</v>
      </c>
      <c r="K43" s="181">
        <f>IFERROR(G43/(G42+G43),0)</f>
        <v>0.36565501079814366</v>
      </c>
      <c r="L43" s="175"/>
      <c r="M43" s="65" t="s">
        <v>601</v>
      </c>
      <c r="N43" s="258">
        <v>12</v>
      </c>
      <c r="Y43" s="67"/>
      <c r="AK43" s="213" t="s">
        <v>481</v>
      </c>
      <c r="AL43" s="188">
        <f>IF($B$1&lt;&gt;0,$AV$35/$B1,0)</f>
        <v>3.8668773756792209E-2</v>
      </c>
      <c r="AO43" s="209" t="s">
        <v>344</v>
      </c>
      <c r="AP43" s="54">
        <f>AV35-'12'!AV35</f>
        <v>-611.20000000000005</v>
      </c>
      <c r="AQ43" s="188">
        <f>AL43-'12'!AL43</f>
        <v>-6.4605937319225287E-2</v>
      </c>
      <c r="AR43" s="49" t="s">
        <v>204</v>
      </c>
      <c r="AS43" s="209" t="s">
        <v>344</v>
      </c>
      <c r="AT43" s="54">
        <f>B1-'12'!B1</f>
        <v>-1259.005000000001</v>
      </c>
      <c r="AU43" s="78">
        <f>AU1-'12'!AU1</f>
        <v>-2211</v>
      </c>
      <c r="AV43" s="49" t="s">
        <v>347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523" priority="66" operator="equal">
      <formula>$R$1</formula>
    </cfRule>
    <cfRule type="cellIs" dxfId="522" priority="67" operator="equal">
      <formula>$M$1</formula>
    </cfRule>
  </conditionalFormatting>
  <conditionalFormatting sqref="C34 G34 K34 O34 S34 W34 AA34 AE34 AI34 AM34 AQ34 AU34">
    <cfRule type="cellIs" dxfId="521" priority="65" operator="equal">
      <formula>$AF$1</formula>
    </cfRule>
    <cfRule type="cellIs" dxfId="520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19" priority="62" operator="lessThan">
      <formula>0</formula>
    </cfRule>
    <cfRule type="cellIs" dxfId="518" priority="63" operator="greaterThanOrEqual">
      <formula>0</formula>
    </cfRule>
  </conditionalFormatting>
  <conditionalFormatting sqref="C38 AU42:AU43 AQ42 G38 K38 O38 S38 W38 AA38 AE38 AI38 AM38 AQ38 AU38">
    <cfRule type="cellIs" dxfId="517" priority="60" operator="lessThan">
      <formula>0</formula>
    </cfRule>
    <cfRule type="cellIs" dxfId="516" priority="61" operator="greaterThanOrEqual">
      <formula>0</formula>
    </cfRule>
  </conditionalFormatting>
  <conditionalFormatting sqref="D38">
    <cfRule type="cellIs" dxfId="515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14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13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12" priority="48" stopIfTrue="1" operator="between">
      <formula>0</formula>
      <formula>0.0416550925925926</formula>
    </cfRule>
    <cfRule type="cellIs" dxfId="511" priority="49" stopIfTrue="1" operator="between">
      <formula>0.0416666666666667</formula>
      <formula>0.0833217592592593</formula>
    </cfRule>
    <cfRule type="cellIs" dxfId="510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09" priority="36" operator="equal">
      <formula>MAX($D$36,$H$36,$L$36,$P$36,$T$36,$X$36,$AB$36,$AF$36,$AJ$36,$AN$36,$AR$36,$AV$36)</formula>
    </cfRule>
  </conditionalFormatting>
  <conditionalFormatting sqref="AP43">
    <cfRule type="cellIs" dxfId="508" priority="34" operator="lessThan">
      <formula>0</formula>
    </cfRule>
    <cfRule type="cellIs" dxfId="507" priority="35" operator="greaterThanOrEqual">
      <formula>0</formula>
    </cfRule>
  </conditionalFormatting>
  <conditionalFormatting sqref="B3:B33 F3:F33 J3:J33 N3:N33 R3:R33 V3:V33 Z3:Z33 AT3:AT33 AH3:AH33 AL3:AL33 AP3:AP33 AD3:AD33">
    <cfRule type="cellIs" dxfId="506" priority="57" stopIfTrue="1" operator="lessThan">
      <formula>50</formula>
    </cfRule>
    <cfRule type="cellIs" dxfId="505" priority="58" stopIfTrue="1" operator="greaterThanOrEqual">
      <formula>100</formula>
    </cfRule>
    <cfRule type="cellIs" dxfId="504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03" priority="54" stopIfTrue="1" operator="between">
      <formula>0</formula>
      <formula>749.99</formula>
    </cfRule>
    <cfRule type="cellIs" dxfId="502" priority="55" stopIfTrue="1" operator="greaterThanOrEqual">
      <formula>1500</formula>
    </cfRule>
    <cfRule type="cellIs" dxfId="501" priority="56" operator="greaterThanOrEqual">
      <formula>750</formula>
    </cfRule>
  </conditionalFormatting>
  <conditionalFormatting sqref="AQ43">
    <cfRule type="cellIs" dxfId="500" priority="32" stopIfTrue="1" operator="lessThan">
      <formula>0</formula>
    </cfRule>
    <cfRule type="cellIs" dxfId="499" priority="33" operator="greaterThanOrEqual">
      <formula>0</formula>
    </cfRule>
  </conditionalFormatting>
  <conditionalFormatting sqref="AL42">
    <cfRule type="cellIs" dxfId="498" priority="26" stopIfTrue="1" operator="lessThan">
      <formula>1000</formula>
    </cfRule>
    <cfRule type="cellIs" dxfId="497" priority="27" stopIfTrue="1" operator="lessThan">
      <formula>1100</formula>
    </cfRule>
    <cfRule type="cellIs" dxfId="496" priority="28" stopIfTrue="1" operator="lessThan">
      <formula>9999</formula>
    </cfRule>
  </conditionalFormatting>
  <conditionalFormatting sqref="AM42">
    <cfRule type="cellIs" dxfId="495" priority="23" stopIfTrue="1" operator="lessThan">
      <formula>10000</formula>
    </cfRule>
    <cfRule type="cellIs" dxfId="494" priority="24" stopIfTrue="1" operator="lessThan">
      <formula>13000</formula>
    </cfRule>
    <cfRule type="cellIs" dxfId="493" priority="25" stopIfTrue="1" operator="lessThan">
      <formula>99999</formula>
    </cfRule>
  </conditionalFormatting>
  <conditionalFormatting sqref="AL43">
    <cfRule type="cellIs" dxfId="492" priority="20" stopIfTrue="1" operator="lessThan">
      <formula>0.05</formula>
    </cfRule>
    <cfRule type="cellIs" dxfId="491" priority="21" stopIfTrue="1" operator="lessThan">
      <formula>0.1</formula>
    </cfRule>
    <cfRule type="cellIs" dxfId="490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58">
        <f>AT35+AV35</f>
        <v>8449.489999999998</v>
      </c>
      <c r="C1" s="358"/>
      <c r="D1" s="83" t="s">
        <v>238</v>
      </c>
      <c r="E1" s="359">
        <f>AT35</f>
        <v>8113.8899999999985</v>
      </c>
      <c r="F1" s="359"/>
      <c r="G1" s="360" t="s">
        <v>152</v>
      </c>
      <c r="H1" s="360"/>
      <c r="I1" s="356">
        <f>MAX(B36,F36,J36,N36,R36,V36,Z36,AD36,AH36,AL36,AP36,AT36)</f>
        <v>154.47999999999999</v>
      </c>
      <c r="J1" s="356"/>
      <c r="K1" s="361" t="s">
        <v>159</v>
      </c>
      <c r="L1" s="361"/>
      <c r="M1" s="362">
        <f>MAX(B34,F34,J34,N34,R34,V34,Z34,AD34,AH34,AL34,AP34,AT34)</f>
        <v>830.34</v>
      </c>
      <c r="N1" s="362"/>
      <c r="O1" s="355" t="s">
        <v>190</v>
      </c>
      <c r="P1" s="355"/>
      <c r="Q1" s="355"/>
      <c r="R1" s="149">
        <f>MIN(B34,F34,J34,N34,R34,V34,Z34,AD34,AH34,AL34,AP34,AT34)</f>
        <v>531.12000000000012</v>
      </c>
      <c r="S1" s="84" t="s">
        <v>207</v>
      </c>
      <c r="T1" s="368">
        <f>IFERROR(AVERAGE(B37,F37,J37,N37,R37,V37,Z37,AD37,AH37,AL37,AP37,AT37),0)</f>
        <v>24.369046054229518</v>
      </c>
      <c r="U1" s="368"/>
      <c r="V1" s="379" t="s">
        <v>641</v>
      </c>
      <c r="W1" s="379"/>
      <c r="X1" s="379"/>
      <c r="Y1" s="379"/>
      <c r="Z1" s="379"/>
      <c r="AA1" s="85" t="s">
        <v>207</v>
      </c>
      <c r="AB1" s="357">
        <f>IFERROR(AVERAGE(C37,G37,K37,O37,S37,W37,AA37,AE37,AI37,AM37,AQ37,AU37),0)</f>
        <v>263.42805021641044</v>
      </c>
      <c r="AC1" s="357"/>
      <c r="AD1" s="367" t="s">
        <v>190</v>
      </c>
      <c r="AE1" s="367"/>
      <c r="AF1" s="370">
        <f>MIN(C34,G34,K34,O34,S34,W34,AA34,AE34,AI34,AM34,AQ34,AU34)</f>
        <v>5009</v>
      </c>
      <c r="AG1" s="370"/>
      <c r="AH1" s="371" t="s">
        <v>159</v>
      </c>
      <c r="AI1" s="371"/>
      <c r="AJ1" s="372">
        <f>MAX(C34,G34,K34,O34,S34,W34,AA34,AE34,AI34,AM34,AQ34,AU34)</f>
        <v>11173</v>
      </c>
      <c r="AK1" s="372"/>
      <c r="AL1" s="374" t="s">
        <v>153</v>
      </c>
      <c r="AM1" s="374"/>
      <c r="AN1" s="373">
        <f>MAX(C36,G36,K36,O36,S36,W36,AA36,AE36,AI36,AM36,AQ36,AU36)</f>
        <v>1552</v>
      </c>
      <c r="AO1" s="373"/>
      <c r="AP1" s="363" t="s">
        <v>361</v>
      </c>
      <c r="AQ1" s="363"/>
      <c r="AR1" s="364">
        <f>MAX(D36,H36,L36,P36,T36,X36,AB36,AF36,AJ36,AN36,AR36,AV36)</f>
        <v>0.10416666666666667</v>
      </c>
      <c r="AS1" s="364"/>
      <c r="AT1" s="81" t="s">
        <v>2</v>
      </c>
      <c r="AU1" s="365">
        <f>AU35</f>
        <v>88113</v>
      </c>
      <c r="AV1" s="366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>
        <v>16.52</v>
      </c>
      <c r="C3" s="55">
        <v>87</v>
      </c>
      <c r="D3" s="150"/>
      <c r="E3" s="75">
        <v>1</v>
      </c>
      <c r="F3" s="54">
        <v>14.36</v>
      </c>
      <c r="G3" s="55">
        <v>343</v>
      </c>
      <c r="H3" s="150"/>
      <c r="I3" s="75">
        <v>1</v>
      </c>
      <c r="J3" s="54">
        <v>49.22</v>
      </c>
      <c r="K3" s="55">
        <v>530</v>
      </c>
      <c r="L3" s="150"/>
      <c r="M3" s="75">
        <v>1</v>
      </c>
      <c r="N3" s="54">
        <v>18.3</v>
      </c>
      <c r="O3" s="55">
        <v>404</v>
      </c>
      <c r="P3" s="150"/>
      <c r="Q3" s="75">
        <v>1</v>
      </c>
      <c r="R3" s="54">
        <v>37.159999999999997</v>
      </c>
      <c r="S3" s="55">
        <v>603</v>
      </c>
      <c r="T3" s="150">
        <v>5.2083333333333336E-2</v>
      </c>
      <c r="U3" s="75">
        <v>1</v>
      </c>
      <c r="V3" s="54">
        <v>42.259999999999991</v>
      </c>
      <c r="W3" s="55">
        <v>571</v>
      </c>
      <c r="X3" s="150"/>
      <c r="Y3" s="75">
        <v>1</v>
      </c>
      <c r="Z3" s="54">
        <v>45.1</v>
      </c>
      <c r="AA3" s="55">
        <v>600</v>
      </c>
      <c r="AB3" s="150"/>
      <c r="AC3" s="75">
        <v>1</v>
      </c>
      <c r="AD3" s="54"/>
      <c r="AE3" s="55"/>
      <c r="AF3" s="150"/>
      <c r="AG3" s="75">
        <v>1</v>
      </c>
      <c r="AH3" s="54">
        <v>11.25</v>
      </c>
      <c r="AI3" s="55">
        <v>70</v>
      </c>
      <c r="AJ3" s="150"/>
      <c r="AK3" s="75">
        <v>1</v>
      </c>
      <c r="AL3" s="54"/>
      <c r="AM3" s="55"/>
      <c r="AN3" s="150"/>
      <c r="AO3" s="75">
        <v>1</v>
      </c>
      <c r="AP3" s="54">
        <v>65.599999999999994</v>
      </c>
      <c r="AQ3" s="55">
        <v>1014</v>
      </c>
      <c r="AR3" s="150"/>
      <c r="AS3" s="75">
        <v>1</v>
      </c>
      <c r="AT3" s="54">
        <v>11</v>
      </c>
      <c r="AU3" s="55">
        <v>3</v>
      </c>
      <c r="AV3" s="150"/>
      <c r="AW3" s="67"/>
    </row>
    <row r="4" spans="1:49" s="49" customFormat="1" ht="11.25" x14ac:dyDescent="0.2">
      <c r="A4" s="73">
        <f t="shared" ref="A4:A33" si="0">A3+1</f>
        <v>2</v>
      </c>
      <c r="B4" s="54"/>
      <c r="C4" s="55"/>
      <c r="D4" s="150">
        <v>5.5555555555555552E-2</v>
      </c>
      <c r="E4" s="75">
        <f t="shared" ref="E4:E30" si="1">E3+1</f>
        <v>2</v>
      </c>
      <c r="F4" s="54"/>
      <c r="G4" s="55"/>
      <c r="H4" s="150"/>
      <c r="I4" s="75">
        <f t="shared" ref="I4:I33" si="2">I3+1</f>
        <v>2</v>
      </c>
      <c r="J4" s="54">
        <v>60.67</v>
      </c>
      <c r="K4" s="55">
        <v>289</v>
      </c>
      <c r="L4" s="150"/>
      <c r="M4" s="75">
        <f t="shared" ref="M4:M32" si="3">M3+1</f>
        <v>2</v>
      </c>
      <c r="N4" s="54">
        <v>20.3</v>
      </c>
      <c r="O4" s="55">
        <v>360</v>
      </c>
      <c r="P4" s="150"/>
      <c r="Q4" s="75">
        <f t="shared" ref="Q4:Q33" si="4">Q3+1</f>
        <v>2</v>
      </c>
      <c r="R4" s="54">
        <v>19.3</v>
      </c>
      <c r="S4" s="55">
        <v>213</v>
      </c>
      <c r="T4" s="150"/>
      <c r="U4" s="75">
        <f t="shared" ref="U4:U32" si="5">U3+1</f>
        <v>2</v>
      </c>
      <c r="V4" s="54">
        <v>22.86</v>
      </c>
      <c r="W4" s="55">
        <v>83</v>
      </c>
      <c r="X4" s="150"/>
      <c r="Y4" s="75">
        <f t="shared" ref="Y4:Y33" si="6">Y3+1</f>
        <v>2</v>
      </c>
      <c r="Z4" s="54">
        <v>14.36</v>
      </c>
      <c r="AA4" s="55">
        <v>343</v>
      </c>
      <c r="AB4" s="150"/>
      <c r="AC4" s="75">
        <f t="shared" ref="AC4:AC33" si="7">AC3+1</f>
        <v>2</v>
      </c>
      <c r="AD4" s="54">
        <v>15.06</v>
      </c>
      <c r="AE4" s="55">
        <v>556</v>
      </c>
      <c r="AF4" s="150"/>
      <c r="AG4" s="75">
        <f>AG3+1</f>
        <v>2</v>
      </c>
      <c r="AH4" s="54">
        <v>19.600000000000001</v>
      </c>
      <c r="AI4" s="55">
        <v>440</v>
      </c>
      <c r="AJ4" s="150"/>
      <c r="AK4" s="75">
        <f>AK3+1</f>
        <v>2</v>
      </c>
      <c r="AL4" s="54"/>
      <c r="AM4" s="55"/>
      <c r="AN4" s="150"/>
      <c r="AO4" s="75">
        <f>AO3+1</f>
        <v>2</v>
      </c>
      <c r="AP4" s="54">
        <v>61.1</v>
      </c>
      <c r="AQ4" s="55">
        <v>540</v>
      </c>
      <c r="AR4" s="150"/>
      <c r="AS4" s="75">
        <f>AS3+1</f>
        <v>2</v>
      </c>
      <c r="AT4" s="54"/>
      <c r="AU4" s="55"/>
      <c r="AV4" s="150"/>
      <c r="AW4" s="67"/>
    </row>
    <row r="5" spans="1:49" s="49" customFormat="1" ht="11.25" x14ac:dyDescent="0.2">
      <c r="A5" s="73">
        <f t="shared" si="0"/>
        <v>3</v>
      </c>
      <c r="B5" s="54">
        <v>15.9</v>
      </c>
      <c r="C5" s="55">
        <v>88</v>
      </c>
      <c r="D5" s="150"/>
      <c r="E5" s="75">
        <f t="shared" si="1"/>
        <v>3</v>
      </c>
      <c r="F5" s="54">
        <v>10.129999999999999</v>
      </c>
      <c r="G5" s="55">
        <v>49</v>
      </c>
      <c r="H5" s="150"/>
      <c r="I5" s="75">
        <f t="shared" si="2"/>
        <v>3</v>
      </c>
      <c r="J5" s="54">
        <v>24.66</v>
      </c>
      <c r="K5" s="55">
        <v>25</v>
      </c>
      <c r="L5" s="150"/>
      <c r="M5" s="75">
        <f t="shared" si="3"/>
        <v>3</v>
      </c>
      <c r="N5" s="54">
        <v>24.66</v>
      </c>
      <c r="O5" s="55">
        <v>25</v>
      </c>
      <c r="P5" s="150"/>
      <c r="Q5" s="75">
        <f t="shared" si="4"/>
        <v>3</v>
      </c>
      <c r="R5" s="54">
        <v>65.88</v>
      </c>
      <c r="S5" s="55">
        <v>151</v>
      </c>
      <c r="T5" s="150"/>
      <c r="U5" s="75">
        <f t="shared" si="5"/>
        <v>3</v>
      </c>
      <c r="V5" s="54">
        <v>15.17</v>
      </c>
      <c r="W5" s="55">
        <v>140</v>
      </c>
      <c r="X5" s="150"/>
      <c r="Y5" s="75">
        <f t="shared" si="6"/>
        <v>3</v>
      </c>
      <c r="Z5" s="54">
        <v>14.36</v>
      </c>
      <c r="AA5" s="55">
        <v>343</v>
      </c>
      <c r="AB5" s="150"/>
      <c r="AC5" s="75">
        <f t="shared" si="7"/>
        <v>3</v>
      </c>
      <c r="AD5" s="54">
        <v>19.5</v>
      </c>
      <c r="AE5" s="55">
        <v>450</v>
      </c>
      <c r="AF5" s="150"/>
      <c r="AG5" s="75">
        <f t="shared" ref="AG5:AG32" si="8">AG4+1</f>
        <v>3</v>
      </c>
      <c r="AH5" s="54">
        <v>22.83</v>
      </c>
      <c r="AI5" s="55">
        <v>172</v>
      </c>
      <c r="AJ5" s="150"/>
      <c r="AK5" s="75">
        <f t="shared" ref="AK5:AK33" si="9">AK4+1</f>
        <v>3</v>
      </c>
      <c r="AL5" s="54"/>
      <c r="AM5" s="55"/>
      <c r="AN5" s="150"/>
      <c r="AO5" s="75">
        <f t="shared" ref="AO5:AO32" si="10">AO4+1</f>
        <v>3</v>
      </c>
      <c r="AP5" s="54">
        <v>18.399999999999999</v>
      </c>
      <c r="AQ5" s="55">
        <v>130</v>
      </c>
      <c r="AR5" s="150"/>
      <c r="AS5" s="75">
        <f t="shared" ref="AS5:AS33" si="11">AS4+1</f>
        <v>3</v>
      </c>
      <c r="AT5" s="54">
        <v>13.16</v>
      </c>
      <c r="AU5" s="55">
        <v>30</v>
      </c>
      <c r="AV5" s="150"/>
      <c r="AW5" s="67"/>
    </row>
    <row r="6" spans="1:49" s="49" customFormat="1" ht="11.25" x14ac:dyDescent="0.2">
      <c r="A6" s="73">
        <f t="shared" si="0"/>
        <v>4</v>
      </c>
      <c r="B6" s="54">
        <v>14.36</v>
      </c>
      <c r="C6" s="55">
        <v>343</v>
      </c>
      <c r="D6" s="150"/>
      <c r="E6" s="75">
        <f t="shared" si="1"/>
        <v>4</v>
      </c>
      <c r="F6" s="54">
        <v>21.73</v>
      </c>
      <c r="G6" s="55">
        <v>357</v>
      </c>
      <c r="H6" s="150"/>
      <c r="I6" s="75">
        <f t="shared" si="2"/>
        <v>4</v>
      </c>
      <c r="J6" s="54">
        <v>9.18</v>
      </c>
      <c r="K6" s="55">
        <v>45</v>
      </c>
      <c r="L6" s="150"/>
      <c r="M6" s="75">
        <f t="shared" si="3"/>
        <v>4</v>
      </c>
      <c r="N6" s="54">
        <v>17.2</v>
      </c>
      <c r="O6" s="55">
        <v>364</v>
      </c>
      <c r="P6" s="150"/>
      <c r="Q6" s="75">
        <f t="shared" si="4"/>
        <v>4</v>
      </c>
      <c r="R6" s="54">
        <v>28.3</v>
      </c>
      <c r="S6" s="55">
        <v>220</v>
      </c>
      <c r="T6" s="150"/>
      <c r="U6" s="75">
        <f t="shared" si="5"/>
        <v>4</v>
      </c>
      <c r="V6" s="54">
        <v>14.2</v>
      </c>
      <c r="W6" s="55">
        <v>300</v>
      </c>
      <c r="X6" s="150"/>
      <c r="Y6" s="75">
        <f t="shared" si="6"/>
        <v>4</v>
      </c>
      <c r="Z6" s="54">
        <v>17.8</v>
      </c>
      <c r="AA6" s="55">
        <v>360</v>
      </c>
      <c r="AB6" s="150"/>
      <c r="AC6" s="75">
        <f t="shared" si="7"/>
        <v>4</v>
      </c>
      <c r="AD6" s="54">
        <v>26.75</v>
      </c>
      <c r="AE6" s="55">
        <v>696</v>
      </c>
      <c r="AF6" s="150"/>
      <c r="AG6" s="75">
        <f t="shared" si="8"/>
        <v>4</v>
      </c>
      <c r="AH6" s="54">
        <v>14.8</v>
      </c>
      <c r="AI6" s="55">
        <v>330</v>
      </c>
      <c r="AJ6" s="150"/>
      <c r="AK6" s="75">
        <f t="shared" si="9"/>
        <v>4</v>
      </c>
      <c r="AL6" s="54"/>
      <c r="AM6" s="55"/>
      <c r="AN6" s="150"/>
      <c r="AO6" s="75">
        <f t="shared" si="10"/>
        <v>4</v>
      </c>
      <c r="AP6" s="54">
        <v>16</v>
      </c>
      <c r="AQ6" s="55">
        <v>65</v>
      </c>
      <c r="AR6" s="150"/>
      <c r="AS6" s="75">
        <f t="shared" si="11"/>
        <v>4</v>
      </c>
      <c r="AT6" s="54">
        <v>15.1</v>
      </c>
      <c r="AU6" s="55">
        <v>50</v>
      </c>
      <c r="AV6" s="150"/>
      <c r="AW6" s="67"/>
    </row>
    <row r="7" spans="1:49" s="49" customFormat="1" ht="11.25" x14ac:dyDescent="0.2">
      <c r="A7" s="73">
        <f t="shared" si="0"/>
        <v>5</v>
      </c>
      <c r="B7" s="54">
        <v>30.01</v>
      </c>
      <c r="C7" s="55">
        <v>395</v>
      </c>
      <c r="D7" s="150"/>
      <c r="E7" s="75">
        <f t="shared" si="1"/>
        <v>5</v>
      </c>
      <c r="F7" s="54">
        <v>11.3</v>
      </c>
      <c r="G7" s="55">
        <v>30</v>
      </c>
      <c r="H7" s="150"/>
      <c r="I7" s="75">
        <f t="shared" si="2"/>
        <v>5</v>
      </c>
      <c r="J7" s="54">
        <v>17.399999999999999</v>
      </c>
      <c r="K7" s="55">
        <v>57</v>
      </c>
      <c r="L7" s="150"/>
      <c r="M7" s="75">
        <f t="shared" si="3"/>
        <v>5</v>
      </c>
      <c r="N7" s="54">
        <v>39.5</v>
      </c>
      <c r="O7" s="55">
        <v>425</v>
      </c>
      <c r="P7" s="150"/>
      <c r="Q7" s="75">
        <f t="shared" si="4"/>
        <v>5</v>
      </c>
      <c r="R7" s="54">
        <v>21</v>
      </c>
      <c r="S7" s="55">
        <v>65</v>
      </c>
      <c r="T7" s="150"/>
      <c r="U7" s="75">
        <f t="shared" si="5"/>
        <v>5</v>
      </c>
      <c r="V7" s="54">
        <v>14.219999999999999</v>
      </c>
      <c r="W7" s="55">
        <v>90</v>
      </c>
      <c r="X7" s="150"/>
      <c r="Y7" s="75">
        <f t="shared" si="6"/>
        <v>5</v>
      </c>
      <c r="Z7" s="54">
        <v>25.419999999999995</v>
      </c>
      <c r="AA7" s="55">
        <v>421</v>
      </c>
      <c r="AB7" s="150"/>
      <c r="AC7" s="75">
        <f t="shared" si="7"/>
        <v>5</v>
      </c>
      <c r="AD7" s="54">
        <v>15.2</v>
      </c>
      <c r="AE7" s="55">
        <v>215</v>
      </c>
      <c r="AF7" s="150"/>
      <c r="AG7" s="75">
        <f t="shared" si="8"/>
        <v>5</v>
      </c>
      <c r="AH7" s="54">
        <v>19.600000000000001</v>
      </c>
      <c r="AI7" s="55">
        <v>440</v>
      </c>
      <c r="AJ7" s="150"/>
      <c r="AK7" s="75">
        <f t="shared" si="9"/>
        <v>5</v>
      </c>
      <c r="AL7" s="54"/>
      <c r="AM7" s="55"/>
      <c r="AN7" s="150"/>
      <c r="AO7" s="75">
        <f t="shared" si="10"/>
        <v>5</v>
      </c>
      <c r="AP7" s="54"/>
      <c r="AQ7" s="55"/>
      <c r="AR7" s="150"/>
      <c r="AS7" s="75">
        <f t="shared" si="11"/>
        <v>5</v>
      </c>
      <c r="AT7" s="54">
        <v>10.8</v>
      </c>
      <c r="AU7" s="55">
        <v>308</v>
      </c>
      <c r="AV7" s="150"/>
      <c r="AW7" s="67"/>
    </row>
    <row r="8" spans="1:49" s="49" customFormat="1" ht="11.25" x14ac:dyDescent="0.2">
      <c r="A8" s="73">
        <f t="shared" si="0"/>
        <v>6</v>
      </c>
      <c r="B8" s="54">
        <v>23.3</v>
      </c>
      <c r="C8" s="55">
        <v>320</v>
      </c>
      <c r="D8" s="150"/>
      <c r="E8" s="75">
        <f t="shared" si="1"/>
        <v>6</v>
      </c>
      <c r="F8" s="54">
        <v>11.290000000000001</v>
      </c>
      <c r="G8" s="55">
        <v>95</v>
      </c>
      <c r="H8" s="150"/>
      <c r="I8" s="75">
        <f t="shared" si="2"/>
        <v>6</v>
      </c>
      <c r="J8" s="54">
        <v>11.93</v>
      </c>
      <c r="K8" s="55">
        <v>78</v>
      </c>
      <c r="L8" s="150"/>
      <c r="M8" s="75">
        <f t="shared" si="3"/>
        <v>6</v>
      </c>
      <c r="N8" s="54">
        <v>47.68</v>
      </c>
      <c r="O8" s="55">
        <v>671</v>
      </c>
      <c r="P8" s="150"/>
      <c r="Q8" s="75">
        <f t="shared" si="4"/>
        <v>6</v>
      </c>
      <c r="R8" s="54">
        <v>7.8</v>
      </c>
      <c r="S8" s="55">
        <v>175</v>
      </c>
      <c r="T8" s="150"/>
      <c r="U8" s="75">
        <f t="shared" si="5"/>
        <v>6</v>
      </c>
      <c r="V8" s="54">
        <v>15.06</v>
      </c>
      <c r="W8" s="55">
        <v>556</v>
      </c>
      <c r="X8" s="150"/>
      <c r="Y8" s="75">
        <f t="shared" si="6"/>
        <v>6</v>
      </c>
      <c r="Z8" s="54">
        <v>66.44</v>
      </c>
      <c r="AA8" s="55">
        <v>1016</v>
      </c>
      <c r="AB8" s="150"/>
      <c r="AC8" s="75">
        <f t="shared" si="7"/>
        <v>6</v>
      </c>
      <c r="AD8" s="54">
        <v>16.98</v>
      </c>
      <c r="AE8" s="55">
        <v>70</v>
      </c>
      <c r="AF8" s="150"/>
      <c r="AG8" s="75">
        <f t="shared" si="8"/>
        <v>6</v>
      </c>
      <c r="AH8" s="54">
        <v>58.44</v>
      </c>
      <c r="AI8" s="55">
        <v>652</v>
      </c>
      <c r="AJ8" s="150"/>
      <c r="AK8" s="75">
        <f t="shared" si="9"/>
        <v>6</v>
      </c>
      <c r="AL8" s="54">
        <v>50.4</v>
      </c>
      <c r="AM8" s="55">
        <v>605</v>
      </c>
      <c r="AN8" s="150"/>
      <c r="AO8" s="75">
        <f t="shared" si="10"/>
        <v>6</v>
      </c>
      <c r="AP8" s="54">
        <v>20.6</v>
      </c>
      <c r="AQ8" s="55">
        <v>90</v>
      </c>
      <c r="AR8" s="150"/>
      <c r="AS8" s="75">
        <f t="shared" si="11"/>
        <v>6</v>
      </c>
      <c r="AT8" s="54">
        <v>30.11</v>
      </c>
      <c r="AU8" s="55">
        <v>343</v>
      </c>
      <c r="AV8" s="150"/>
      <c r="AW8" s="67"/>
    </row>
    <row r="9" spans="1:49" s="49" customFormat="1" ht="11.25" x14ac:dyDescent="0.2">
      <c r="A9" s="73">
        <f t="shared" si="0"/>
        <v>7</v>
      </c>
      <c r="B9" s="54">
        <v>7.14</v>
      </c>
      <c r="C9" s="55">
        <v>30</v>
      </c>
      <c r="D9" s="150"/>
      <c r="E9" s="75">
        <f t="shared" si="1"/>
        <v>7</v>
      </c>
      <c r="F9" s="54">
        <v>12.2</v>
      </c>
      <c r="G9" s="55">
        <v>50</v>
      </c>
      <c r="H9" s="150"/>
      <c r="I9" s="75">
        <f t="shared" si="2"/>
        <v>7</v>
      </c>
      <c r="J9" s="54">
        <v>15.32</v>
      </c>
      <c r="K9" s="55">
        <v>175</v>
      </c>
      <c r="L9" s="150"/>
      <c r="M9" s="75">
        <f t="shared" si="3"/>
        <v>7</v>
      </c>
      <c r="N9" s="54">
        <v>18.3</v>
      </c>
      <c r="O9" s="55">
        <v>404</v>
      </c>
      <c r="P9" s="150"/>
      <c r="Q9" s="75">
        <f t="shared" si="4"/>
        <v>7</v>
      </c>
      <c r="R9" s="54">
        <v>14.4</v>
      </c>
      <c r="S9" s="55">
        <v>50</v>
      </c>
      <c r="T9" s="150"/>
      <c r="U9" s="75">
        <f t="shared" si="5"/>
        <v>7</v>
      </c>
      <c r="V9" s="54">
        <v>20.53</v>
      </c>
      <c r="W9" s="55">
        <v>360</v>
      </c>
      <c r="X9" s="150"/>
      <c r="Y9" s="75">
        <f t="shared" si="6"/>
        <v>7</v>
      </c>
      <c r="Z9" s="54">
        <v>11.4</v>
      </c>
      <c r="AA9" s="55">
        <v>40</v>
      </c>
      <c r="AB9" s="150"/>
      <c r="AC9" s="75">
        <f t="shared" si="7"/>
        <v>7</v>
      </c>
      <c r="AD9" s="54">
        <v>16</v>
      </c>
      <c r="AE9" s="55">
        <v>210</v>
      </c>
      <c r="AF9" s="150"/>
      <c r="AG9" s="75">
        <f t="shared" si="8"/>
        <v>7</v>
      </c>
      <c r="AH9" s="54">
        <v>19.7</v>
      </c>
      <c r="AI9" s="55">
        <v>470</v>
      </c>
      <c r="AJ9" s="150"/>
      <c r="AK9" s="75">
        <f t="shared" si="9"/>
        <v>7</v>
      </c>
      <c r="AL9" s="54">
        <v>12.8</v>
      </c>
      <c r="AM9" s="55">
        <v>20</v>
      </c>
      <c r="AN9" s="150"/>
      <c r="AO9" s="75">
        <f t="shared" si="10"/>
        <v>7</v>
      </c>
      <c r="AP9" s="54">
        <v>18</v>
      </c>
      <c r="AQ9" s="55">
        <v>60</v>
      </c>
      <c r="AR9" s="150"/>
      <c r="AS9" s="75">
        <f t="shared" si="11"/>
        <v>7</v>
      </c>
      <c r="AT9" s="54">
        <v>34.700000000000003</v>
      </c>
      <c r="AU9" s="55">
        <v>402</v>
      </c>
      <c r="AV9" s="150"/>
      <c r="AW9" s="67"/>
    </row>
    <row r="10" spans="1:49" s="49" customFormat="1" ht="11.25" x14ac:dyDescent="0.2">
      <c r="A10" s="73">
        <f t="shared" si="0"/>
        <v>8</v>
      </c>
      <c r="B10" s="54">
        <v>28.4</v>
      </c>
      <c r="C10" s="55">
        <v>40</v>
      </c>
      <c r="D10" s="150"/>
      <c r="E10" s="75">
        <f t="shared" si="1"/>
        <v>8</v>
      </c>
      <c r="F10" s="54">
        <v>27.35</v>
      </c>
      <c r="G10" s="55">
        <v>390</v>
      </c>
      <c r="H10" s="150"/>
      <c r="I10" s="75">
        <f t="shared" si="2"/>
        <v>8</v>
      </c>
      <c r="J10" s="54">
        <v>61.4</v>
      </c>
      <c r="K10" s="55">
        <v>1457</v>
      </c>
      <c r="L10" s="150"/>
      <c r="M10" s="75">
        <f t="shared" si="3"/>
        <v>8</v>
      </c>
      <c r="N10" s="54">
        <v>13.1</v>
      </c>
      <c r="O10" s="55">
        <v>40</v>
      </c>
      <c r="P10" s="150"/>
      <c r="Q10" s="75">
        <f t="shared" si="4"/>
        <v>8</v>
      </c>
      <c r="R10" s="54">
        <v>11.4</v>
      </c>
      <c r="S10" s="55">
        <v>60</v>
      </c>
      <c r="T10" s="150"/>
      <c r="U10" s="75">
        <f t="shared" si="5"/>
        <v>8</v>
      </c>
      <c r="V10" s="54">
        <v>154.47999999999999</v>
      </c>
      <c r="W10" s="55">
        <v>1552</v>
      </c>
      <c r="X10" s="150"/>
      <c r="Y10" s="75">
        <f t="shared" si="6"/>
        <v>8</v>
      </c>
      <c r="Z10" s="54">
        <v>17.399999999999999</v>
      </c>
      <c r="AA10" s="55">
        <v>70</v>
      </c>
      <c r="AB10" s="150"/>
      <c r="AC10" s="75">
        <f t="shared" si="7"/>
        <v>8</v>
      </c>
      <c r="AD10" s="54">
        <v>23.2</v>
      </c>
      <c r="AE10" s="55">
        <v>640</v>
      </c>
      <c r="AF10" s="150"/>
      <c r="AG10" s="75">
        <f t="shared" si="8"/>
        <v>8</v>
      </c>
      <c r="AH10" s="54">
        <v>25.2</v>
      </c>
      <c r="AI10" s="49">
        <v>115</v>
      </c>
      <c r="AJ10" s="150"/>
      <c r="AK10" s="75">
        <f t="shared" si="9"/>
        <v>8</v>
      </c>
      <c r="AL10" s="54">
        <v>15</v>
      </c>
      <c r="AM10" s="55">
        <v>75</v>
      </c>
      <c r="AN10" s="150"/>
      <c r="AO10" s="75">
        <f t="shared" si="10"/>
        <v>8</v>
      </c>
      <c r="AP10" s="54">
        <v>44.599999999999994</v>
      </c>
      <c r="AQ10" s="55">
        <v>750</v>
      </c>
      <c r="AR10" s="150"/>
      <c r="AS10" s="75">
        <f t="shared" si="11"/>
        <v>8</v>
      </c>
      <c r="AT10" s="54">
        <v>11.6</v>
      </c>
      <c r="AU10" s="55">
        <v>40</v>
      </c>
      <c r="AV10" s="150"/>
      <c r="AW10" s="67"/>
    </row>
    <row r="11" spans="1:49" s="49" customFormat="1" ht="11.25" x14ac:dyDescent="0.2">
      <c r="A11" s="73">
        <f t="shared" si="0"/>
        <v>9</v>
      </c>
      <c r="B11" s="54">
        <v>14.190000000000001</v>
      </c>
      <c r="C11" s="55">
        <v>55</v>
      </c>
      <c r="D11" s="150"/>
      <c r="E11" s="75">
        <f t="shared" si="1"/>
        <v>9</v>
      </c>
      <c r="F11" s="54">
        <v>32.089999999999996</v>
      </c>
      <c r="G11" s="55">
        <v>494</v>
      </c>
      <c r="H11" s="150"/>
      <c r="I11" s="75">
        <f t="shared" si="2"/>
        <v>9</v>
      </c>
      <c r="J11" s="54">
        <v>72.22</v>
      </c>
      <c r="K11" s="55">
        <v>671</v>
      </c>
      <c r="L11" s="150"/>
      <c r="M11" s="75">
        <f t="shared" si="3"/>
        <v>9</v>
      </c>
      <c r="N11" s="54">
        <v>16.3</v>
      </c>
      <c r="O11" s="55">
        <v>150</v>
      </c>
      <c r="P11" s="150"/>
      <c r="Q11" s="75">
        <f t="shared" si="4"/>
        <v>9</v>
      </c>
      <c r="R11" s="54">
        <v>16.899999999999999</v>
      </c>
      <c r="S11" s="55">
        <v>80</v>
      </c>
      <c r="T11" s="150"/>
      <c r="U11" s="75">
        <f t="shared" si="5"/>
        <v>9</v>
      </c>
      <c r="V11" s="54">
        <v>19.5</v>
      </c>
      <c r="W11" s="55">
        <v>450</v>
      </c>
      <c r="X11" s="150"/>
      <c r="Y11" s="75">
        <f t="shared" si="6"/>
        <v>9</v>
      </c>
      <c r="Z11" s="54">
        <v>14.36</v>
      </c>
      <c r="AA11" s="55">
        <v>343</v>
      </c>
      <c r="AB11" s="150"/>
      <c r="AC11" s="75">
        <f t="shared" si="7"/>
        <v>9</v>
      </c>
      <c r="AD11" s="54">
        <v>38.18</v>
      </c>
      <c r="AE11" s="55">
        <v>627</v>
      </c>
      <c r="AF11" s="150"/>
      <c r="AG11" s="75">
        <f t="shared" si="8"/>
        <v>9</v>
      </c>
      <c r="AH11" s="54">
        <v>8.99</v>
      </c>
      <c r="AI11" s="55">
        <v>55</v>
      </c>
      <c r="AJ11" s="150"/>
      <c r="AK11" s="75">
        <f t="shared" si="9"/>
        <v>9</v>
      </c>
      <c r="AL11" s="54">
        <v>20.07</v>
      </c>
      <c r="AM11" s="55">
        <v>30</v>
      </c>
      <c r="AN11" s="150"/>
      <c r="AO11" s="75">
        <f t="shared" si="10"/>
        <v>9</v>
      </c>
      <c r="AP11" s="54">
        <v>64.900000000000006</v>
      </c>
      <c r="AQ11" s="55">
        <v>755</v>
      </c>
      <c r="AR11" s="150"/>
      <c r="AS11" s="75">
        <f t="shared" si="11"/>
        <v>9</v>
      </c>
      <c r="AT11" s="54">
        <v>12.5</v>
      </c>
      <c r="AU11" s="55">
        <v>10</v>
      </c>
      <c r="AV11" s="150"/>
      <c r="AW11" s="67"/>
    </row>
    <row r="12" spans="1:49" s="49" customFormat="1" ht="11.25" x14ac:dyDescent="0.2">
      <c r="A12" s="73">
        <f t="shared" si="0"/>
        <v>10</v>
      </c>
      <c r="B12" s="54">
        <v>13.2</v>
      </c>
      <c r="C12" s="55">
        <v>45</v>
      </c>
      <c r="D12" s="150"/>
      <c r="E12" s="75">
        <f t="shared" si="1"/>
        <v>10</v>
      </c>
      <c r="F12" s="54">
        <v>7.65</v>
      </c>
      <c r="G12" s="55">
        <v>210</v>
      </c>
      <c r="H12" s="150"/>
      <c r="I12" s="75">
        <f t="shared" si="2"/>
        <v>10</v>
      </c>
      <c r="J12" s="54">
        <v>13.72</v>
      </c>
      <c r="K12" s="55">
        <v>65</v>
      </c>
      <c r="L12" s="150"/>
      <c r="M12" s="75">
        <f t="shared" si="3"/>
        <v>10</v>
      </c>
      <c r="N12" s="54">
        <v>10.860000000000001</v>
      </c>
      <c r="O12" s="55">
        <v>53</v>
      </c>
      <c r="P12" s="150"/>
      <c r="Q12" s="75">
        <f t="shared" si="4"/>
        <v>10</v>
      </c>
      <c r="R12" s="54">
        <v>35.509999999999991</v>
      </c>
      <c r="S12" s="55">
        <v>588</v>
      </c>
      <c r="T12" s="150"/>
      <c r="U12" s="75">
        <f t="shared" si="5"/>
        <v>10</v>
      </c>
      <c r="V12" s="54">
        <v>36.94</v>
      </c>
      <c r="W12" s="55">
        <v>445</v>
      </c>
      <c r="X12" s="150"/>
      <c r="Y12" s="75">
        <f t="shared" si="6"/>
        <v>10</v>
      </c>
      <c r="Z12" s="54">
        <v>7.28</v>
      </c>
      <c r="AA12" s="55">
        <v>43</v>
      </c>
      <c r="AB12" s="150"/>
      <c r="AC12" s="75">
        <f t="shared" si="7"/>
        <v>10</v>
      </c>
      <c r="AD12" s="54">
        <v>98.16</v>
      </c>
      <c r="AE12" s="55">
        <v>1445</v>
      </c>
      <c r="AF12" s="150"/>
      <c r="AG12" s="75">
        <f t="shared" si="8"/>
        <v>10</v>
      </c>
      <c r="AH12" s="54">
        <v>13.5</v>
      </c>
      <c r="AI12" s="49">
        <v>10</v>
      </c>
      <c r="AJ12" s="150"/>
      <c r="AK12" s="75">
        <f t="shared" si="9"/>
        <v>10</v>
      </c>
      <c r="AL12" s="54">
        <v>22.189999999999998</v>
      </c>
      <c r="AM12" s="55">
        <v>523</v>
      </c>
      <c r="AN12" s="150"/>
      <c r="AO12" s="75">
        <f t="shared" si="10"/>
        <v>10</v>
      </c>
      <c r="AP12" s="54">
        <v>9.5</v>
      </c>
      <c r="AQ12" s="55">
        <v>30</v>
      </c>
      <c r="AR12" s="150"/>
      <c r="AS12" s="75">
        <f t="shared" si="11"/>
        <v>10</v>
      </c>
      <c r="AT12" s="54">
        <v>16.3</v>
      </c>
      <c r="AU12" s="55">
        <v>350</v>
      </c>
      <c r="AV12" s="150"/>
      <c r="AW12" s="67"/>
    </row>
    <row r="13" spans="1:49" s="49" customFormat="1" ht="11.25" x14ac:dyDescent="0.2">
      <c r="A13" s="73">
        <f t="shared" si="0"/>
        <v>11</v>
      </c>
      <c r="B13" s="54">
        <v>31.2</v>
      </c>
      <c r="C13" s="55">
        <v>444</v>
      </c>
      <c r="D13" s="150"/>
      <c r="E13" s="75">
        <f t="shared" si="1"/>
        <v>11</v>
      </c>
      <c r="F13" s="54">
        <v>22.9</v>
      </c>
      <c r="G13" s="55">
        <v>153</v>
      </c>
      <c r="H13" s="150"/>
      <c r="I13" s="75">
        <f t="shared" si="2"/>
        <v>11</v>
      </c>
      <c r="J13" s="54">
        <v>18</v>
      </c>
      <c r="K13" s="55">
        <v>110</v>
      </c>
      <c r="L13" s="150"/>
      <c r="M13" s="75">
        <f t="shared" si="3"/>
        <v>11</v>
      </c>
      <c r="N13" s="54">
        <v>19.7</v>
      </c>
      <c r="O13" s="55">
        <v>220</v>
      </c>
      <c r="P13" s="150"/>
      <c r="Q13" s="75">
        <f t="shared" si="4"/>
        <v>11</v>
      </c>
      <c r="R13" s="54">
        <v>23</v>
      </c>
      <c r="S13" s="55">
        <v>385</v>
      </c>
      <c r="T13" s="150"/>
      <c r="U13" s="75">
        <f t="shared" si="5"/>
        <v>11</v>
      </c>
      <c r="V13" s="54">
        <v>38.42</v>
      </c>
      <c r="W13" s="55">
        <v>220</v>
      </c>
      <c r="X13" s="150"/>
      <c r="Y13" s="75">
        <f t="shared" si="6"/>
        <v>11</v>
      </c>
      <c r="Z13" s="54">
        <v>15.82</v>
      </c>
      <c r="AA13" s="55">
        <v>225</v>
      </c>
      <c r="AB13" s="150"/>
      <c r="AC13" s="75">
        <f t="shared" si="7"/>
        <v>11</v>
      </c>
      <c r="AD13" s="54">
        <v>9.66</v>
      </c>
      <c r="AE13" s="55">
        <v>60</v>
      </c>
      <c r="AF13" s="150"/>
      <c r="AG13" s="75">
        <f t="shared" si="8"/>
        <v>11</v>
      </c>
      <c r="AH13" s="54">
        <v>9.1</v>
      </c>
      <c r="AI13" s="55">
        <v>250</v>
      </c>
      <c r="AJ13" s="150"/>
      <c r="AK13" s="75">
        <f t="shared" si="9"/>
        <v>11</v>
      </c>
      <c r="AL13" s="54">
        <v>25</v>
      </c>
      <c r="AM13" s="55">
        <v>300</v>
      </c>
      <c r="AN13" s="150"/>
      <c r="AO13" s="75">
        <f t="shared" si="10"/>
        <v>11</v>
      </c>
      <c r="AP13" s="54">
        <v>14.57</v>
      </c>
      <c r="AQ13" s="55">
        <v>21</v>
      </c>
      <c r="AR13" s="150"/>
      <c r="AS13" s="75">
        <f t="shared" si="11"/>
        <v>11</v>
      </c>
      <c r="AT13" s="54"/>
      <c r="AU13" s="55"/>
      <c r="AV13" s="150"/>
      <c r="AW13" s="67"/>
    </row>
    <row r="14" spans="1:49" s="49" customFormat="1" ht="11.25" x14ac:dyDescent="0.2">
      <c r="A14" s="73">
        <f t="shared" si="0"/>
        <v>12</v>
      </c>
      <c r="B14" s="54">
        <v>35.299999999999997</v>
      </c>
      <c r="C14" s="55">
        <v>225</v>
      </c>
      <c r="D14" s="150"/>
      <c r="E14" s="75">
        <f t="shared" si="1"/>
        <v>12</v>
      </c>
      <c r="F14" s="54">
        <v>14</v>
      </c>
      <c r="G14" s="55">
        <v>10</v>
      </c>
      <c r="H14" s="150"/>
      <c r="I14" s="75">
        <f t="shared" si="2"/>
        <v>12</v>
      </c>
      <c r="J14" s="54">
        <v>18.600000000000001</v>
      </c>
      <c r="K14" s="55">
        <v>110</v>
      </c>
      <c r="L14" s="150"/>
      <c r="M14" s="75">
        <f t="shared" si="3"/>
        <v>12</v>
      </c>
      <c r="N14" s="54">
        <v>41.87</v>
      </c>
      <c r="O14" s="55">
        <v>750</v>
      </c>
      <c r="P14" s="150"/>
      <c r="Q14" s="75">
        <f t="shared" si="4"/>
        <v>12</v>
      </c>
      <c r="R14" s="54">
        <v>19</v>
      </c>
      <c r="S14" s="55">
        <v>90</v>
      </c>
      <c r="T14" s="150"/>
      <c r="U14" s="75">
        <f t="shared" si="5"/>
        <v>12</v>
      </c>
      <c r="V14" s="54">
        <v>49.719999999999992</v>
      </c>
      <c r="W14" s="55">
        <v>416</v>
      </c>
      <c r="X14" s="150"/>
      <c r="Y14" s="75">
        <f t="shared" si="6"/>
        <v>12</v>
      </c>
      <c r="Z14" s="54">
        <v>38.459999999999987</v>
      </c>
      <c r="AA14" s="55">
        <v>638</v>
      </c>
      <c r="AB14" s="150">
        <v>4.6527777777777779E-2</v>
      </c>
      <c r="AC14" s="75">
        <f t="shared" si="7"/>
        <v>12</v>
      </c>
      <c r="AD14" s="54">
        <v>10.66</v>
      </c>
      <c r="AE14" s="78">
        <v>90</v>
      </c>
      <c r="AF14" s="150"/>
      <c r="AG14" s="75">
        <f t="shared" si="8"/>
        <v>12</v>
      </c>
      <c r="AH14" s="54">
        <v>12.4</v>
      </c>
      <c r="AI14" s="55">
        <v>45</v>
      </c>
      <c r="AJ14" s="150"/>
      <c r="AK14" s="75">
        <f t="shared" si="9"/>
        <v>12</v>
      </c>
      <c r="AL14" s="54">
        <v>26.58</v>
      </c>
      <c r="AM14" s="55">
        <v>477</v>
      </c>
      <c r="AN14" s="150">
        <v>4.4444444444444446E-2</v>
      </c>
      <c r="AO14" s="75">
        <f t="shared" si="10"/>
        <v>12</v>
      </c>
      <c r="AP14" s="54">
        <v>25.6</v>
      </c>
      <c r="AQ14" s="55">
        <v>25</v>
      </c>
      <c r="AR14" s="150"/>
      <c r="AS14" s="75">
        <f t="shared" si="11"/>
        <v>12</v>
      </c>
      <c r="AT14" s="54"/>
      <c r="AU14" s="55"/>
      <c r="AV14" s="150"/>
      <c r="AW14" s="67"/>
    </row>
    <row r="15" spans="1:49" s="49" customFormat="1" ht="11.25" x14ac:dyDescent="0.2">
      <c r="A15" s="73">
        <f t="shared" si="0"/>
        <v>13</v>
      </c>
      <c r="B15" s="54">
        <v>12.3</v>
      </c>
      <c r="C15" s="55">
        <v>65</v>
      </c>
      <c r="D15" s="150"/>
      <c r="E15" s="75">
        <f t="shared" si="1"/>
        <v>13</v>
      </c>
      <c r="F15" s="54">
        <v>13.9</v>
      </c>
      <c r="G15" s="55">
        <v>25</v>
      </c>
      <c r="H15" s="150"/>
      <c r="I15" s="75">
        <f t="shared" si="2"/>
        <v>13</v>
      </c>
      <c r="J15" s="54">
        <v>17.5</v>
      </c>
      <c r="K15" s="55">
        <v>110</v>
      </c>
      <c r="L15" s="150"/>
      <c r="M15" s="75">
        <f t="shared" si="3"/>
        <v>13</v>
      </c>
      <c r="N15" s="54">
        <v>20.420000000000002</v>
      </c>
      <c r="O15" s="55">
        <v>368</v>
      </c>
      <c r="P15" s="150"/>
      <c r="Q15" s="75">
        <f t="shared" si="4"/>
        <v>13</v>
      </c>
      <c r="R15" s="54">
        <v>18.78</v>
      </c>
      <c r="S15" s="55">
        <v>103</v>
      </c>
      <c r="T15" s="150"/>
      <c r="U15" s="75">
        <f t="shared" si="5"/>
        <v>13</v>
      </c>
      <c r="V15" s="54">
        <v>20</v>
      </c>
      <c r="W15" s="55">
        <v>150</v>
      </c>
      <c r="X15" s="150"/>
      <c r="Y15" s="75">
        <f t="shared" si="6"/>
        <v>13</v>
      </c>
      <c r="Z15" s="54">
        <v>24.2</v>
      </c>
      <c r="AA15" s="55">
        <v>75</v>
      </c>
      <c r="AB15" s="150">
        <v>8.3333333333333329E-2</v>
      </c>
      <c r="AC15" s="75">
        <f t="shared" si="7"/>
        <v>13</v>
      </c>
      <c r="AD15" s="54">
        <v>22</v>
      </c>
      <c r="AE15" s="55">
        <v>265</v>
      </c>
      <c r="AF15" s="150"/>
      <c r="AG15" s="75">
        <f t="shared" si="8"/>
        <v>13</v>
      </c>
      <c r="AH15" s="54">
        <v>41.3</v>
      </c>
      <c r="AI15" s="55">
        <v>215</v>
      </c>
      <c r="AJ15" s="150"/>
      <c r="AK15" s="75">
        <f t="shared" si="9"/>
        <v>13</v>
      </c>
      <c r="AL15" s="54">
        <v>17.399999999999999</v>
      </c>
      <c r="AM15" s="55">
        <v>260</v>
      </c>
      <c r="AN15" s="150"/>
      <c r="AO15" s="75">
        <f t="shared" si="10"/>
        <v>13</v>
      </c>
      <c r="AP15" s="54">
        <v>5.69</v>
      </c>
      <c r="AQ15" s="55">
        <v>40</v>
      </c>
      <c r="AR15" s="150"/>
      <c r="AS15" s="75">
        <f t="shared" si="11"/>
        <v>13</v>
      </c>
      <c r="AT15" s="54">
        <v>26.75</v>
      </c>
      <c r="AU15" s="55">
        <v>409</v>
      </c>
      <c r="AV15" s="150"/>
      <c r="AW15" s="67"/>
    </row>
    <row r="16" spans="1:49" s="49" customFormat="1" ht="11.25" x14ac:dyDescent="0.2">
      <c r="A16" s="73">
        <f t="shared" si="0"/>
        <v>14</v>
      </c>
      <c r="B16" s="54">
        <v>10.27</v>
      </c>
      <c r="C16" s="55">
        <v>60</v>
      </c>
      <c r="D16" s="150"/>
      <c r="E16" s="75">
        <f t="shared" si="1"/>
        <v>14</v>
      </c>
      <c r="F16" s="54">
        <v>40</v>
      </c>
      <c r="G16" s="55">
        <v>35</v>
      </c>
      <c r="H16" s="150"/>
      <c r="I16" s="75">
        <f t="shared" si="2"/>
        <v>14</v>
      </c>
      <c r="J16" s="54">
        <v>21.6</v>
      </c>
      <c r="K16" s="55">
        <v>140</v>
      </c>
      <c r="L16" s="150"/>
      <c r="M16" s="75">
        <f t="shared" si="3"/>
        <v>14</v>
      </c>
      <c r="N16" s="54">
        <v>9.0399999999999991</v>
      </c>
      <c r="O16" s="55">
        <v>48</v>
      </c>
      <c r="P16" s="150"/>
      <c r="Q16" s="75">
        <f t="shared" si="4"/>
        <v>14</v>
      </c>
      <c r="R16" s="54">
        <v>14.5</v>
      </c>
      <c r="S16" s="49">
        <v>130</v>
      </c>
      <c r="T16" s="150"/>
      <c r="U16" s="75">
        <f t="shared" si="5"/>
        <v>14</v>
      </c>
      <c r="V16" s="54"/>
      <c r="W16" s="55"/>
      <c r="X16" s="150"/>
      <c r="Y16" s="75">
        <f t="shared" si="6"/>
        <v>14</v>
      </c>
      <c r="Z16" s="54">
        <v>9.2100000000000009</v>
      </c>
      <c r="AA16" s="55">
        <v>53</v>
      </c>
      <c r="AB16" s="150"/>
      <c r="AC16" s="75">
        <f t="shared" si="7"/>
        <v>14</v>
      </c>
      <c r="AD16" s="54">
        <v>33.700000000000003</v>
      </c>
      <c r="AE16" s="55">
        <v>496</v>
      </c>
      <c r="AF16" s="150"/>
      <c r="AG16" s="75">
        <f t="shared" si="8"/>
        <v>14</v>
      </c>
      <c r="AH16" s="54">
        <v>66.3</v>
      </c>
      <c r="AI16" s="55">
        <v>750</v>
      </c>
      <c r="AJ16" s="150"/>
      <c r="AK16" s="75">
        <f t="shared" si="9"/>
        <v>14</v>
      </c>
      <c r="AL16" s="54">
        <v>11.49</v>
      </c>
      <c r="AM16" s="55">
        <v>70</v>
      </c>
      <c r="AN16" s="150"/>
      <c r="AO16" s="75">
        <f t="shared" si="10"/>
        <v>14</v>
      </c>
      <c r="AP16" s="54">
        <v>6.8</v>
      </c>
      <c r="AQ16" s="55">
        <v>20</v>
      </c>
      <c r="AR16" s="150"/>
      <c r="AS16" s="75">
        <f t="shared" si="11"/>
        <v>14</v>
      </c>
      <c r="AT16" s="54">
        <v>12.46</v>
      </c>
      <c r="AU16" s="55">
        <v>351</v>
      </c>
      <c r="AV16" s="150"/>
      <c r="AW16" s="67"/>
    </row>
    <row r="17" spans="1:49" s="49" customFormat="1" ht="11.25" x14ac:dyDescent="0.2">
      <c r="A17" s="73">
        <f t="shared" si="0"/>
        <v>15</v>
      </c>
      <c r="B17" s="54">
        <v>16.099999999999998</v>
      </c>
      <c r="C17" s="55">
        <v>97</v>
      </c>
      <c r="D17" s="150"/>
      <c r="E17" s="75">
        <f t="shared" si="1"/>
        <v>15</v>
      </c>
      <c r="F17" s="54">
        <v>12.6</v>
      </c>
      <c r="G17" s="55">
        <v>212</v>
      </c>
      <c r="H17" s="150"/>
      <c r="I17" s="75">
        <f t="shared" si="2"/>
        <v>15</v>
      </c>
      <c r="J17" s="54">
        <v>15</v>
      </c>
      <c r="K17" s="55">
        <v>50</v>
      </c>
      <c r="L17" s="150"/>
      <c r="M17" s="75">
        <f t="shared" si="3"/>
        <v>15</v>
      </c>
      <c r="N17" s="54">
        <v>9</v>
      </c>
      <c r="O17" s="55">
        <v>33</v>
      </c>
      <c r="P17" s="150"/>
      <c r="Q17" s="75">
        <f t="shared" si="4"/>
        <v>15</v>
      </c>
      <c r="R17" s="54">
        <v>9.86</v>
      </c>
      <c r="S17" s="49">
        <v>58</v>
      </c>
      <c r="T17" s="150"/>
      <c r="U17" s="75">
        <f t="shared" si="5"/>
        <v>15</v>
      </c>
      <c r="V17" s="54">
        <v>10</v>
      </c>
      <c r="W17" s="55">
        <v>15</v>
      </c>
      <c r="X17" s="150"/>
      <c r="Y17" s="75">
        <f t="shared" si="6"/>
        <v>15</v>
      </c>
      <c r="Z17" s="54">
        <v>21.074999999999999</v>
      </c>
      <c r="AA17" s="55">
        <v>12</v>
      </c>
      <c r="AB17" s="150">
        <v>2.0833333333333332E-2</v>
      </c>
      <c r="AC17" s="75">
        <f t="shared" si="7"/>
        <v>15</v>
      </c>
      <c r="AD17" s="54">
        <v>25.200000000000003</v>
      </c>
      <c r="AE17" s="55">
        <v>110</v>
      </c>
      <c r="AF17" s="150"/>
      <c r="AG17" s="75">
        <f t="shared" si="8"/>
        <v>15</v>
      </c>
      <c r="AH17" s="54">
        <v>10.84</v>
      </c>
      <c r="AI17" s="55">
        <v>65</v>
      </c>
      <c r="AJ17" s="150"/>
      <c r="AK17" s="75">
        <f t="shared" si="9"/>
        <v>15</v>
      </c>
      <c r="AL17" s="54">
        <v>16</v>
      </c>
      <c r="AM17" s="55">
        <v>65</v>
      </c>
      <c r="AN17" s="150"/>
      <c r="AO17" s="75">
        <f t="shared" si="10"/>
        <v>15</v>
      </c>
      <c r="AP17" s="54">
        <v>41.28</v>
      </c>
      <c r="AQ17" s="55">
        <v>680</v>
      </c>
      <c r="AR17" s="150">
        <v>4.1666666666666664E-2</v>
      </c>
      <c r="AS17" s="75">
        <f t="shared" si="11"/>
        <v>15</v>
      </c>
      <c r="AT17" s="54">
        <v>59</v>
      </c>
      <c r="AU17" s="55">
        <v>335</v>
      </c>
      <c r="AV17" s="150"/>
      <c r="AW17" s="67"/>
    </row>
    <row r="18" spans="1:49" s="49" customFormat="1" ht="11.25" x14ac:dyDescent="0.2">
      <c r="A18" s="73">
        <f t="shared" si="0"/>
        <v>16</v>
      </c>
      <c r="B18" s="54">
        <v>14.8</v>
      </c>
      <c r="C18" s="55">
        <v>330</v>
      </c>
      <c r="D18" s="150"/>
      <c r="E18" s="75">
        <f t="shared" si="1"/>
        <v>16</v>
      </c>
      <c r="F18" s="54">
        <v>41.3</v>
      </c>
      <c r="G18" s="55">
        <v>757</v>
      </c>
      <c r="H18" s="150"/>
      <c r="I18" s="75">
        <f t="shared" si="2"/>
        <v>16</v>
      </c>
      <c r="J18" s="54">
        <v>35.1</v>
      </c>
      <c r="K18" s="55">
        <v>385</v>
      </c>
      <c r="L18" s="150"/>
      <c r="M18" s="75">
        <f t="shared" si="3"/>
        <v>16</v>
      </c>
      <c r="N18" s="54">
        <v>12.7</v>
      </c>
      <c r="O18" s="55">
        <v>45</v>
      </c>
      <c r="P18" s="150"/>
      <c r="Q18" s="75">
        <f t="shared" si="4"/>
        <v>16</v>
      </c>
      <c r="R18" s="54">
        <v>26</v>
      </c>
      <c r="S18" s="55">
        <v>477</v>
      </c>
      <c r="T18" s="150"/>
      <c r="U18" s="75">
        <f t="shared" si="5"/>
        <v>16</v>
      </c>
      <c r="V18" s="54"/>
      <c r="W18" s="55"/>
      <c r="X18" s="150"/>
      <c r="Y18" s="75">
        <f t="shared" si="6"/>
        <v>16</v>
      </c>
      <c r="Z18" s="54">
        <v>8.6999999999999993</v>
      </c>
      <c r="AA18" s="55">
        <v>48</v>
      </c>
      <c r="AB18" s="150"/>
      <c r="AC18" s="75">
        <f t="shared" si="7"/>
        <v>16</v>
      </c>
      <c r="AD18" s="54">
        <v>34.299999999999997</v>
      </c>
      <c r="AE18" s="55">
        <v>390</v>
      </c>
      <c r="AF18" s="150"/>
      <c r="AG18" s="75">
        <f t="shared" si="8"/>
        <v>16</v>
      </c>
      <c r="AH18" s="54">
        <v>21.61</v>
      </c>
      <c r="AI18" s="55">
        <v>108</v>
      </c>
      <c r="AJ18" s="150"/>
      <c r="AK18" s="75">
        <f t="shared" si="9"/>
        <v>16</v>
      </c>
      <c r="AL18" s="54">
        <v>11.3</v>
      </c>
      <c r="AM18" s="55">
        <v>60</v>
      </c>
      <c r="AN18" s="150"/>
      <c r="AO18" s="75">
        <f t="shared" si="10"/>
        <v>16</v>
      </c>
      <c r="AP18" s="54">
        <v>46.870000000000005</v>
      </c>
      <c r="AQ18" s="55">
        <v>755</v>
      </c>
      <c r="AR18" s="150"/>
      <c r="AS18" s="75">
        <f t="shared" si="11"/>
        <v>16</v>
      </c>
      <c r="AT18" s="54">
        <v>15.75</v>
      </c>
      <c r="AU18" s="55">
        <v>150</v>
      </c>
      <c r="AV18" s="150"/>
      <c r="AW18" s="67"/>
    </row>
    <row r="19" spans="1:49" s="49" customFormat="1" ht="11.25" x14ac:dyDescent="0.2">
      <c r="A19" s="73">
        <f t="shared" si="0"/>
        <v>17</v>
      </c>
      <c r="B19" s="54">
        <v>15.559999999999999</v>
      </c>
      <c r="C19" s="55">
        <v>363</v>
      </c>
      <c r="D19" s="150"/>
      <c r="E19" s="75">
        <f t="shared" si="1"/>
        <v>17</v>
      </c>
      <c r="F19" s="54">
        <v>25.21</v>
      </c>
      <c r="G19" s="55">
        <v>29</v>
      </c>
      <c r="H19" s="150"/>
      <c r="I19" s="75">
        <f t="shared" si="2"/>
        <v>17</v>
      </c>
      <c r="J19" s="54">
        <v>17.2</v>
      </c>
      <c r="K19" s="55">
        <v>262</v>
      </c>
      <c r="L19" s="150"/>
      <c r="M19" s="75">
        <f t="shared" si="3"/>
        <v>17</v>
      </c>
      <c r="N19" s="54">
        <v>18</v>
      </c>
      <c r="O19" s="55">
        <v>75</v>
      </c>
      <c r="P19" s="150"/>
      <c r="Q19" s="75">
        <f t="shared" si="4"/>
        <v>17</v>
      </c>
      <c r="R19" s="54">
        <v>26</v>
      </c>
      <c r="S19" s="55">
        <v>477</v>
      </c>
      <c r="T19" s="150"/>
      <c r="U19" s="75">
        <f t="shared" si="5"/>
        <v>17</v>
      </c>
      <c r="V19" s="54">
        <v>28.270000000000003</v>
      </c>
      <c r="W19" s="55">
        <v>385</v>
      </c>
      <c r="X19" s="150"/>
      <c r="Y19" s="75">
        <f t="shared" si="6"/>
        <v>17</v>
      </c>
      <c r="Z19" s="54">
        <v>10.3</v>
      </c>
      <c r="AA19" s="55">
        <v>100</v>
      </c>
      <c r="AB19" s="150"/>
      <c r="AC19" s="75">
        <f t="shared" si="7"/>
        <v>17</v>
      </c>
      <c r="AD19" s="54">
        <v>17.900000000000002</v>
      </c>
      <c r="AE19" s="55">
        <v>75</v>
      </c>
      <c r="AF19" s="150"/>
      <c r="AG19" s="75">
        <f t="shared" si="8"/>
        <v>17</v>
      </c>
      <c r="AH19" s="54">
        <v>19.32</v>
      </c>
      <c r="AI19" s="55">
        <v>398</v>
      </c>
      <c r="AJ19" s="150"/>
      <c r="AK19" s="75">
        <f t="shared" si="9"/>
        <v>17</v>
      </c>
      <c r="AL19" s="54">
        <v>11.5</v>
      </c>
      <c r="AM19" s="55">
        <v>60</v>
      </c>
      <c r="AN19" s="150"/>
      <c r="AO19" s="75">
        <f t="shared" si="10"/>
        <v>17</v>
      </c>
      <c r="AP19" s="54">
        <v>20.25</v>
      </c>
      <c r="AQ19" s="55">
        <v>10</v>
      </c>
      <c r="AR19" s="150"/>
      <c r="AS19" s="75">
        <f t="shared" si="11"/>
        <v>17</v>
      </c>
      <c r="AT19" s="54">
        <v>16.45</v>
      </c>
      <c r="AU19" s="55">
        <v>150</v>
      </c>
      <c r="AV19" s="150"/>
      <c r="AW19" s="67"/>
    </row>
    <row r="20" spans="1:49" s="49" customFormat="1" ht="11.25" x14ac:dyDescent="0.2">
      <c r="A20" s="73">
        <f t="shared" si="0"/>
        <v>18</v>
      </c>
      <c r="B20" s="54">
        <v>67.06</v>
      </c>
      <c r="C20" s="55">
        <v>438</v>
      </c>
      <c r="D20" s="150"/>
      <c r="E20" s="75">
        <f t="shared" si="1"/>
        <v>18</v>
      </c>
      <c r="F20" s="54">
        <v>11.72</v>
      </c>
      <c r="G20" s="55">
        <v>115</v>
      </c>
      <c r="H20" s="150"/>
      <c r="I20" s="75">
        <f t="shared" si="2"/>
        <v>18</v>
      </c>
      <c r="J20" s="54">
        <v>12.5</v>
      </c>
      <c r="K20" s="55">
        <v>50</v>
      </c>
      <c r="L20" s="150"/>
      <c r="M20" s="75">
        <f t="shared" si="3"/>
        <v>18</v>
      </c>
      <c r="N20" s="54">
        <v>20.6</v>
      </c>
      <c r="O20" s="55">
        <v>75</v>
      </c>
      <c r="P20" s="150"/>
      <c r="Q20" s="75">
        <f t="shared" si="4"/>
        <v>18</v>
      </c>
      <c r="R20" s="54">
        <v>59.6</v>
      </c>
      <c r="S20" s="55">
        <v>955</v>
      </c>
      <c r="T20" s="150"/>
      <c r="U20" s="75">
        <f t="shared" si="5"/>
        <v>18</v>
      </c>
      <c r="V20" s="54">
        <v>58.900000000000006</v>
      </c>
      <c r="W20" s="55">
        <v>895</v>
      </c>
      <c r="X20" s="150"/>
      <c r="Y20" s="75">
        <f t="shared" si="6"/>
        <v>18</v>
      </c>
      <c r="Z20" s="54">
        <v>16</v>
      </c>
      <c r="AA20" s="55">
        <v>65</v>
      </c>
      <c r="AB20" s="150"/>
      <c r="AC20" s="75">
        <f t="shared" si="7"/>
        <v>18</v>
      </c>
      <c r="AD20" s="54">
        <v>14.6</v>
      </c>
      <c r="AE20" s="55">
        <v>85</v>
      </c>
      <c r="AF20" s="150"/>
      <c r="AG20" s="75">
        <f t="shared" si="8"/>
        <v>18</v>
      </c>
      <c r="AH20" s="54">
        <v>10.4</v>
      </c>
      <c r="AI20" s="55">
        <v>50</v>
      </c>
      <c r="AJ20" s="150"/>
      <c r="AK20" s="75">
        <f t="shared" si="9"/>
        <v>18</v>
      </c>
      <c r="AL20" s="54">
        <v>43.47</v>
      </c>
      <c r="AM20" s="55">
        <v>1437</v>
      </c>
      <c r="AN20" s="150"/>
      <c r="AO20" s="75">
        <f t="shared" si="10"/>
        <v>18</v>
      </c>
      <c r="AP20" s="54">
        <v>10.4</v>
      </c>
      <c r="AQ20" s="55">
        <v>40</v>
      </c>
      <c r="AR20" s="150"/>
      <c r="AS20" s="75">
        <f t="shared" si="11"/>
        <v>18</v>
      </c>
      <c r="AT20" s="54">
        <v>13.42</v>
      </c>
      <c r="AU20" s="55">
        <v>15</v>
      </c>
      <c r="AV20" s="150"/>
      <c r="AW20" s="67"/>
    </row>
    <row r="21" spans="1:49" s="49" customFormat="1" ht="11.25" x14ac:dyDescent="0.2">
      <c r="A21" s="73">
        <f t="shared" si="0"/>
        <v>19</v>
      </c>
      <c r="B21" s="54">
        <v>27.66</v>
      </c>
      <c r="C21" s="55">
        <v>105</v>
      </c>
      <c r="D21" s="150"/>
      <c r="E21" s="75">
        <f t="shared" si="1"/>
        <v>19</v>
      </c>
      <c r="F21" s="54">
        <v>25.21</v>
      </c>
      <c r="G21" s="55">
        <v>29</v>
      </c>
      <c r="H21" s="150"/>
      <c r="I21" s="75">
        <f t="shared" si="2"/>
        <v>19</v>
      </c>
      <c r="J21" s="54">
        <v>21.6</v>
      </c>
      <c r="K21" s="55">
        <v>50</v>
      </c>
      <c r="L21" s="150"/>
      <c r="M21" s="75">
        <f t="shared" si="3"/>
        <v>19</v>
      </c>
      <c r="N21" s="54">
        <v>53.86</v>
      </c>
      <c r="O21" s="55">
        <v>584</v>
      </c>
      <c r="P21" s="150"/>
      <c r="Q21" s="75">
        <f t="shared" si="4"/>
        <v>19</v>
      </c>
      <c r="R21" s="54">
        <v>17.82</v>
      </c>
      <c r="S21" s="55">
        <v>160</v>
      </c>
      <c r="T21" s="150"/>
      <c r="U21" s="75">
        <f t="shared" si="5"/>
        <v>19</v>
      </c>
      <c r="V21" s="54">
        <v>37.200000000000003</v>
      </c>
      <c r="W21" s="55">
        <v>604</v>
      </c>
      <c r="X21" s="150"/>
      <c r="Y21" s="75">
        <f t="shared" si="6"/>
        <v>19</v>
      </c>
      <c r="Z21" s="54">
        <v>62.41</v>
      </c>
      <c r="AA21" s="55">
        <v>750</v>
      </c>
      <c r="AB21" s="150"/>
      <c r="AC21" s="75">
        <f t="shared" si="7"/>
        <v>19</v>
      </c>
      <c r="AD21" s="54">
        <v>14.8</v>
      </c>
      <c r="AE21" s="55">
        <v>330</v>
      </c>
      <c r="AF21" s="150"/>
      <c r="AG21" s="75">
        <f t="shared" si="8"/>
        <v>19</v>
      </c>
      <c r="AH21" s="54">
        <v>16.8</v>
      </c>
      <c r="AI21" s="55">
        <v>80</v>
      </c>
      <c r="AJ21" s="150"/>
      <c r="AK21" s="75">
        <f t="shared" si="9"/>
        <v>19</v>
      </c>
      <c r="AL21" s="54">
        <v>31.6</v>
      </c>
      <c r="AM21" s="55">
        <v>616</v>
      </c>
      <c r="AN21" s="150"/>
      <c r="AO21" s="75">
        <f t="shared" si="10"/>
        <v>19</v>
      </c>
      <c r="AP21" s="54">
        <v>21.3</v>
      </c>
      <c r="AQ21" s="55">
        <v>75</v>
      </c>
      <c r="AR21" s="150"/>
      <c r="AS21" s="75">
        <f t="shared" si="11"/>
        <v>19</v>
      </c>
      <c r="AT21" s="54">
        <v>10.3</v>
      </c>
      <c r="AU21" s="55">
        <v>15</v>
      </c>
      <c r="AV21" s="150"/>
      <c r="AW21" s="67"/>
    </row>
    <row r="22" spans="1:49" s="49" customFormat="1" ht="11.25" x14ac:dyDescent="0.2">
      <c r="A22" s="73">
        <f t="shared" si="0"/>
        <v>20</v>
      </c>
      <c r="B22" s="54">
        <v>10.5</v>
      </c>
      <c r="C22" s="55">
        <v>35</v>
      </c>
      <c r="D22" s="150"/>
      <c r="E22" s="75">
        <f t="shared" si="1"/>
        <v>20</v>
      </c>
      <c r="F22" s="54">
        <v>8.8099999999999987</v>
      </c>
      <c r="G22" s="55">
        <v>41</v>
      </c>
      <c r="H22" s="150"/>
      <c r="I22" s="75">
        <f t="shared" si="2"/>
        <v>20</v>
      </c>
      <c r="J22" s="54"/>
      <c r="K22" s="55"/>
      <c r="L22" s="150"/>
      <c r="M22" s="75">
        <f t="shared" si="3"/>
        <v>20</v>
      </c>
      <c r="N22" s="54">
        <v>44.1</v>
      </c>
      <c r="O22" s="55">
        <v>565</v>
      </c>
      <c r="P22" s="150">
        <v>0.10416666666666667</v>
      </c>
      <c r="Q22" s="75">
        <f t="shared" si="4"/>
        <v>20</v>
      </c>
      <c r="R22" s="54">
        <v>111.31</v>
      </c>
      <c r="S22" s="55">
        <v>1460</v>
      </c>
      <c r="T22" s="150"/>
      <c r="U22" s="75">
        <f t="shared" si="5"/>
        <v>20</v>
      </c>
      <c r="V22" s="54">
        <v>34.6</v>
      </c>
      <c r="W22" s="55">
        <v>200</v>
      </c>
      <c r="X22" s="150"/>
      <c r="Y22" s="75">
        <f t="shared" si="6"/>
        <v>20</v>
      </c>
      <c r="Z22" s="54">
        <v>18.71</v>
      </c>
      <c r="AA22" s="55">
        <v>409</v>
      </c>
      <c r="AB22" s="150"/>
      <c r="AC22" s="75">
        <f t="shared" si="7"/>
        <v>20</v>
      </c>
      <c r="AD22" s="54">
        <v>22.189999999999998</v>
      </c>
      <c r="AE22" s="55">
        <v>523</v>
      </c>
      <c r="AF22" s="150"/>
      <c r="AG22" s="75">
        <f t="shared" si="8"/>
        <v>20</v>
      </c>
      <c r="AH22" s="54">
        <v>50.999999999999993</v>
      </c>
      <c r="AI22" s="55">
        <v>450</v>
      </c>
      <c r="AJ22" s="150"/>
      <c r="AK22" s="75">
        <f t="shared" si="9"/>
        <v>20</v>
      </c>
      <c r="AL22" s="54">
        <v>15.77</v>
      </c>
      <c r="AM22" s="55">
        <v>45</v>
      </c>
      <c r="AN22" s="150"/>
      <c r="AO22" s="75">
        <f t="shared" si="10"/>
        <v>20</v>
      </c>
      <c r="AP22" s="54">
        <v>11.4</v>
      </c>
      <c r="AQ22" s="55">
        <v>45</v>
      </c>
      <c r="AR22" s="150"/>
      <c r="AS22" s="75">
        <f t="shared" si="11"/>
        <v>20</v>
      </c>
      <c r="AT22" s="54">
        <v>26.58</v>
      </c>
      <c r="AU22" s="55">
        <v>477</v>
      </c>
      <c r="AV22" s="150"/>
      <c r="AW22" s="67"/>
    </row>
    <row r="23" spans="1:49" s="49" customFormat="1" ht="11.25" x14ac:dyDescent="0.2">
      <c r="A23" s="73">
        <f t="shared" si="0"/>
        <v>21</v>
      </c>
      <c r="B23" s="54">
        <v>16.3</v>
      </c>
      <c r="C23" s="55">
        <v>20</v>
      </c>
      <c r="D23" s="150"/>
      <c r="E23" s="75">
        <f t="shared" si="1"/>
        <v>21</v>
      </c>
      <c r="F23" s="54">
        <v>14.36</v>
      </c>
      <c r="G23" s="55">
        <v>343</v>
      </c>
      <c r="H23" s="150"/>
      <c r="I23" s="75">
        <f t="shared" si="2"/>
        <v>21</v>
      </c>
      <c r="J23" s="54"/>
      <c r="K23" s="55"/>
      <c r="L23" s="150"/>
      <c r="M23" s="75">
        <f t="shared" si="3"/>
        <v>21</v>
      </c>
      <c r="N23" s="54">
        <v>44.6</v>
      </c>
      <c r="O23" s="55">
        <v>630</v>
      </c>
      <c r="P23" s="150"/>
      <c r="Q23" s="75">
        <f t="shared" si="4"/>
        <v>21</v>
      </c>
      <c r="R23" s="54">
        <v>12.76</v>
      </c>
      <c r="S23" s="55">
        <v>73</v>
      </c>
      <c r="T23" s="150"/>
      <c r="U23" s="75">
        <f t="shared" si="5"/>
        <v>21</v>
      </c>
      <c r="V23" s="54">
        <v>26.03</v>
      </c>
      <c r="W23" s="55">
        <v>352</v>
      </c>
      <c r="X23" s="150"/>
      <c r="Y23" s="75">
        <f t="shared" si="6"/>
        <v>21</v>
      </c>
      <c r="Z23" s="54">
        <v>10.4</v>
      </c>
      <c r="AA23" s="55">
        <v>53</v>
      </c>
      <c r="AB23" s="150"/>
      <c r="AC23" s="75">
        <f t="shared" si="7"/>
        <v>21</v>
      </c>
      <c r="AD23" s="54">
        <v>16.02</v>
      </c>
      <c r="AE23" s="55">
        <v>225</v>
      </c>
      <c r="AF23" s="150"/>
      <c r="AG23" s="75">
        <f t="shared" si="8"/>
        <v>21</v>
      </c>
      <c r="AH23" s="54">
        <v>30.3</v>
      </c>
      <c r="AI23" s="55">
        <v>270</v>
      </c>
      <c r="AJ23" s="150">
        <v>2.6388888888888889E-2</v>
      </c>
      <c r="AK23" s="75">
        <f t="shared" si="9"/>
        <v>21</v>
      </c>
      <c r="AL23" s="54">
        <v>8.6</v>
      </c>
      <c r="AM23" s="55">
        <v>50</v>
      </c>
      <c r="AN23" s="150"/>
      <c r="AO23" s="75">
        <f t="shared" si="10"/>
        <v>21</v>
      </c>
      <c r="AP23" s="54">
        <v>31.5</v>
      </c>
      <c r="AQ23" s="55">
        <v>120</v>
      </c>
      <c r="AR23" s="150"/>
      <c r="AS23" s="75">
        <f t="shared" si="11"/>
        <v>21</v>
      </c>
      <c r="AT23" s="54">
        <v>45.08</v>
      </c>
      <c r="AU23" s="55">
        <v>607</v>
      </c>
      <c r="AV23" s="150"/>
      <c r="AW23" s="67"/>
    </row>
    <row r="24" spans="1:49" s="49" customFormat="1" ht="11.25" x14ac:dyDescent="0.2">
      <c r="A24" s="73">
        <f t="shared" si="0"/>
        <v>22</v>
      </c>
      <c r="B24" s="54">
        <v>13.48</v>
      </c>
      <c r="C24" s="55">
        <v>102</v>
      </c>
      <c r="D24" s="150"/>
      <c r="E24" s="75">
        <f t="shared" si="1"/>
        <v>22</v>
      </c>
      <c r="F24" s="54">
        <v>43.72999999999999</v>
      </c>
      <c r="G24" s="55">
        <v>590</v>
      </c>
      <c r="H24" s="150"/>
      <c r="I24" s="75">
        <f t="shared" si="2"/>
        <v>22</v>
      </c>
      <c r="J24" s="54"/>
      <c r="K24" s="55"/>
      <c r="L24" s="150"/>
      <c r="M24" s="75">
        <f t="shared" si="3"/>
        <v>22</v>
      </c>
      <c r="N24" s="54">
        <v>9</v>
      </c>
      <c r="O24" s="55">
        <v>15</v>
      </c>
      <c r="P24" s="150"/>
      <c r="Q24" s="75">
        <f t="shared" si="4"/>
        <v>22</v>
      </c>
      <c r="R24" s="54">
        <v>22.5</v>
      </c>
      <c r="S24" s="49">
        <v>230</v>
      </c>
      <c r="T24" s="150"/>
      <c r="U24" s="75">
        <f t="shared" si="5"/>
        <v>22</v>
      </c>
      <c r="V24" s="54"/>
      <c r="W24" s="55"/>
      <c r="X24" s="150"/>
      <c r="Y24" s="75">
        <f t="shared" si="6"/>
        <v>22</v>
      </c>
      <c r="Z24" s="54">
        <v>19.7</v>
      </c>
      <c r="AA24" s="55">
        <v>113</v>
      </c>
      <c r="AB24" s="150"/>
      <c r="AC24" s="75">
        <f t="shared" si="7"/>
        <v>22</v>
      </c>
      <c r="AD24" s="54">
        <v>14.8</v>
      </c>
      <c r="AE24" s="55">
        <v>350</v>
      </c>
      <c r="AF24" s="150"/>
      <c r="AG24" s="75">
        <f t="shared" si="8"/>
        <v>22</v>
      </c>
      <c r="AH24" s="54">
        <v>11.5</v>
      </c>
      <c r="AI24" s="55">
        <v>5</v>
      </c>
      <c r="AJ24" s="150"/>
      <c r="AK24" s="75">
        <f t="shared" si="9"/>
        <v>22</v>
      </c>
      <c r="AL24" s="54">
        <v>11.3</v>
      </c>
      <c r="AM24" s="55">
        <v>45</v>
      </c>
      <c r="AN24" s="150"/>
      <c r="AO24" s="75">
        <f t="shared" si="10"/>
        <v>22</v>
      </c>
      <c r="AP24" s="54">
        <v>65.2</v>
      </c>
      <c r="AQ24" s="55">
        <v>325</v>
      </c>
      <c r="AR24" s="150"/>
      <c r="AS24" s="75">
        <f t="shared" si="11"/>
        <v>22</v>
      </c>
      <c r="AT24" s="54">
        <v>14.6</v>
      </c>
      <c r="AU24" s="55">
        <v>45</v>
      </c>
      <c r="AV24" s="150"/>
      <c r="AW24" s="67"/>
    </row>
    <row r="25" spans="1:49" s="49" customFormat="1" ht="11.25" x14ac:dyDescent="0.2">
      <c r="A25" s="73">
        <f t="shared" si="0"/>
        <v>23</v>
      </c>
      <c r="B25" s="54">
        <v>14.5</v>
      </c>
      <c r="C25" s="55">
        <v>30</v>
      </c>
      <c r="D25" s="150"/>
      <c r="E25" s="75">
        <f t="shared" si="1"/>
        <v>23</v>
      </c>
      <c r="F25" s="54">
        <v>44.000000000000007</v>
      </c>
      <c r="G25" s="55">
        <v>484</v>
      </c>
      <c r="H25" s="150">
        <v>2.0833333333333332E-2</v>
      </c>
      <c r="I25" s="75">
        <f t="shared" si="2"/>
        <v>23</v>
      </c>
      <c r="J25" s="54"/>
      <c r="K25" s="55"/>
      <c r="L25" s="150"/>
      <c r="M25" s="75">
        <f t="shared" si="3"/>
        <v>23</v>
      </c>
      <c r="N25" s="54">
        <v>10.355</v>
      </c>
      <c r="O25" s="55">
        <v>32</v>
      </c>
      <c r="P25" s="150"/>
      <c r="Q25" s="75">
        <f t="shared" si="4"/>
        <v>23</v>
      </c>
      <c r="R25" s="54">
        <v>11.48</v>
      </c>
      <c r="S25" s="55">
        <v>100</v>
      </c>
      <c r="T25" s="150"/>
      <c r="U25" s="75">
        <f t="shared" si="5"/>
        <v>23</v>
      </c>
      <c r="V25" s="54">
        <v>7.8</v>
      </c>
      <c r="W25" s="55">
        <v>10</v>
      </c>
      <c r="X25" s="150"/>
      <c r="Y25" s="75">
        <f t="shared" si="6"/>
        <v>23</v>
      </c>
      <c r="Z25" s="54">
        <v>20.63</v>
      </c>
      <c r="AA25" s="55">
        <v>480</v>
      </c>
      <c r="AB25" s="150"/>
      <c r="AC25" s="75">
        <f t="shared" si="7"/>
        <v>23</v>
      </c>
      <c r="AD25" s="54">
        <v>23.18</v>
      </c>
      <c r="AE25" s="55">
        <v>220</v>
      </c>
      <c r="AF25" s="150"/>
      <c r="AG25" s="75">
        <f t="shared" si="8"/>
        <v>23</v>
      </c>
      <c r="AH25" s="54">
        <v>26.650000000000002</v>
      </c>
      <c r="AI25" s="55">
        <v>168</v>
      </c>
      <c r="AJ25" s="150"/>
      <c r="AK25" s="75">
        <f t="shared" si="9"/>
        <v>23</v>
      </c>
      <c r="AL25" s="54">
        <v>14.27</v>
      </c>
      <c r="AM25" s="55">
        <v>45</v>
      </c>
      <c r="AN25" s="150"/>
      <c r="AO25" s="75">
        <f t="shared" si="10"/>
        <v>23</v>
      </c>
      <c r="AP25" s="54">
        <v>52.87</v>
      </c>
      <c r="AQ25" s="55">
        <v>1290</v>
      </c>
      <c r="AR25" s="150"/>
      <c r="AS25" s="75">
        <f t="shared" si="11"/>
        <v>23</v>
      </c>
      <c r="AT25" s="54">
        <v>14.8</v>
      </c>
      <c r="AU25" s="55">
        <v>330</v>
      </c>
      <c r="AV25" s="150"/>
      <c r="AW25" s="67"/>
    </row>
    <row r="26" spans="1:49" s="49" customFormat="1" ht="11.25" x14ac:dyDescent="0.2">
      <c r="A26" s="73">
        <f t="shared" si="0"/>
        <v>24</v>
      </c>
      <c r="B26" s="54">
        <v>17.3</v>
      </c>
      <c r="C26" s="55">
        <v>238</v>
      </c>
      <c r="D26" s="150"/>
      <c r="E26" s="75">
        <f t="shared" si="1"/>
        <v>24</v>
      </c>
      <c r="F26" s="54">
        <v>24.95</v>
      </c>
      <c r="G26" s="55">
        <v>197</v>
      </c>
      <c r="H26" s="150"/>
      <c r="I26" s="75">
        <f t="shared" si="2"/>
        <v>24</v>
      </c>
      <c r="J26" s="54">
        <v>11.1</v>
      </c>
      <c r="K26" s="55">
        <v>35</v>
      </c>
      <c r="L26" s="150"/>
      <c r="M26" s="75">
        <f t="shared" si="3"/>
        <v>24</v>
      </c>
      <c r="N26" s="54">
        <v>9.86</v>
      </c>
      <c r="O26" s="55">
        <v>58</v>
      </c>
      <c r="P26" s="150"/>
      <c r="Q26" s="75">
        <f t="shared" si="4"/>
        <v>24</v>
      </c>
      <c r="R26" s="54">
        <v>26.71</v>
      </c>
      <c r="S26" s="55">
        <v>83</v>
      </c>
      <c r="T26" s="150"/>
      <c r="U26" s="75">
        <f t="shared" si="5"/>
        <v>24</v>
      </c>
      <c r="V26" s="54">
        <v>52</v>
      </c>
      <c r="W26" s="55">
        <v>100</v>
      </c>
      <c r="X26" s="150"/>
      <c r="Y26" s="75">
        <f t="shared" si="6"/>
        <v>24</v>
      </c>
      <c r="Z26" s="54">
        <v>19.7</v>
      </c>
      <c r="AA26" s="55">
        <v>113</v>
      </c>
      <c r="AB26" s="150"/>
      <c r="AC26" s="75">
        <f t="shared" si="7"/>
        <v>24</v>
      </c>
      <c r="AD26" s="54">
        <v>24.33</v>
      </c>
      <c r="AE26" s="55">
        <v>480</v>
      </c>
      <c r="AF26" s="150"/>
      <c r="AG26" s="75">
        <f t="shared" si="8"/>
        <v>24</v>
      </c>
      <c r="AH26" s="54">
        <v>22.83</v>
      </c>
      <c r="AI26" s="55">
        <v>172</v>
      </c>
      <c r="AJ26" s="150"/>
      <c r="AK26" s="75">
        <f t="shared" si="9"/>
        <v>24</v>
      </c>
      <c r="AL26" s="54">
        <v>16</v>
      </c>
      <c r="AM26" s="55">
        <v>65</v>
      </c>
      <c r="AN26" s="150"/>
      <c r="AO26" s="75">
        <f t="shared" si="10"/>
        <v>24</v>
      </c>
      <c r="AP26" s="54">
        <v>8.1</v>
      </c>
      <c r="AQ26" s="55">
        <v>47</v>
      </c>
      <c r="AR26" s="150"/>
      <c r="AS26" s="75">
        <f t="shared" si="11"/>
        <v>24</v>
      </c>
      <c r="AT26" s="54">
        <v>30.3</v>
      </c>
      <c r="AU26" s="55">
        <v>270</v>
      </c>
      <c r="AV26" s="150"/>
      <c r="AW26" s="67"/>
    </row>
    <row r="27" spans="1:49" s="49" customFormat="1" ht="11.25" x14ac:dyDescent="0.2">
      <c r="A27" s="73">
        <f t="shared" si="0"/>
        <v>25</v>
      </c>
      <c r="B27" s="54">
        <v>26.5</v>
      </c>
      <c r="C27" s="55">
        <v>377</v>
      </c>
      <c r="D27" s="150"/>
      <c r="E27" s="75">
        <f t="shared" si="1"/>
        <v>25</v>
      </c>
      <c r="F27" s="54">
        <v>29.02</v>
      </c>
      <c r="G27" s="55">
        <v>50</v>
      </c>
      <c r="H27" s="150"/>
      <c r="I27" s="75">
        <f t="shared" si="2"/>
        <v>25</v>
      </c>
      <c r="J27" s="54">
        <v>17</v>
      </c>
      <c r="K27" s="55">
        <v>157</v>
      </c>
      <c r="L27" s="150"/>
      <c r="M27" s="75">
        <f t="shared" si="3"/>
        <v>25</v>
      </c>
      <c r="N27" s="54">
        <v>12.08</v>
      </c>
      <c r="O27" s="55">
        <v>60</v>
      </c>
      <c r="P27" s="150"/>
      <c r="Q27" s="75">
        <f t="shared" si="4"/>
        <v>25</v>
      </c>
      <c r="R27" s="54">
        <v>15</v>
      </c>
      <c r="S27" s="55">
        <v>215</v>
      </c>
      <c r="T27" s="150"/>
      <c r="U27" s="75">
        <f t="shared" si="5"/>
        <v>25</v>
      </c>
      <c r="V27" s="54">
        <v>43.12</v>
      </c>
      <c r="W27" s="55">
        <v>245</v>
      </c>
      <c r="X27" s="150"/>
      <c r="Y27" s="75">
        <f t="shared" si="6"/>
        <v>25</v>
      </c>
      <c r="Z27" s="54">
        <v>22.53</v>
      </c>
      <c r="AA27" s="55">
        <v>143</v>
      </c>
      <c r="AB27" s="150"/>
      <c r="AC27" s="75">
        <f t="shared" si="7"/>
        <v>25</v>
      </c>
      <c r="AD27" s="54">
        <v>18.100000000000001</v>
      </c>
      <c r="AE27" s="55">
        <v>225</v>
      </c>
      <c r="AF27" s="150"/>
      <c r="AG27" s="75">
        <f t="shared" si="8"/>
        <v>25</v>
      </c>
      <c r="AH27" s="54">
        <v>17.400000000000002</v>
      </c>
      <c r="AI27" s="55">
        <v>370</v>
      </c>
      <c r="AJ27" s="150"/>
      <c r="AK27" s="75">
        <f t="shared" si="9"/>
        <v>25</v>
      </c>
      <c r="AL27" s="54">
        <v>11.940000000000001</v>
      </c>
      <c r="AM27" s="55">
        <v>63</v>
      </c>
      <c r="AN27" s="150"/>
      <c r="AO27" s="75">
        <f t="shared" si="10"/>
        <v>25</v>
      </c>
      <c r="AP27" s="54"/>
      <c r="AQ27" s="55"/>
      <c r="AR27" s="150">
        <v>2.0833333333333332E-2</v>
      </c>
      <c r="AS27" s="75">
        <f t="shared" si="11"/>
        <v>25</v>
      </c>
      <c r="AT27" s="54">
        <v>28.08</v>
      </c>
      <c r="AU27" s="55">
        <v>497</v>
      </c>
      <c r="AV27" s="150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50"/>
      <c r="E28" s="75">
        <f t="shared" si="1"/>
        <v>26</v>
      </c>
      <c r="F28" s="54">
        <v>3.2199999999999998</v>
      </c>
      <c r="G28" s="55">
        <v>19</v>
      </c>
      <c r="H28" s="150"/>
      <c r="I28" s="75">
        <f t="shared" si="2"/>
        <v>26</v>
      </c>
      <c r="J28" s="54">
        <v>29.05</v>
      </c>
      <c r="K28" s="55">
        <v>190</v>
      </c>
      <c r="L28" s="150"/>
      <c r="M28" s="75">
        <f t="shared" si="3"/>
        <v>26</v>
      </c>
      <c r="N28" s="54">
        <v>51.06</v>
      </c>
      <c r="O28" s="55">
        <v>1123</v>
      </c>
      <c r="P28" s="150"/>
      <c r="Q28" s="75">
        <f t="shared" si="4"/>
        <v>26</v>
      </c>
      <c r="R28" s="54">
        <v>18.8</v>
      </c>
      <c r="S28" s="55">
        <v>135</v>
      </c>
      <c r="T28" s="150"/>
      <c r="U28" s="75">
        <f t="shared" si="5"/>
        <v>26</v>
      </c>
      <c r="V28" s="54">
        <v>22.68</v>
      </c>
      <c r="W28" s="55">
        <v>300</v>
      </c>
      <c r="X28" s="150"/>
      <c r="Y28" s="75">
        <f t="shared" si="6"/>
        <v>26</v>
      </c>
      <c r="Z28" s="54">
        <v>45.01</v>
      </c>
      <c r="AA28" s="55">
        <v>702</v>
      </c>
      <c r="AB28" s="150"/>
      <c r="AC28" s="75">
        <f t="shared" si="7"/>
        <v>26</v>
      </c>
      <c r="AD28" s="54">
        <v>10</v>
      </c>
      <c r="AE28" s="55">
        <v>40</v>
      </c>
      <c r="AF28" s="150"/>
      <c r="AG28" s="75">
        <f t="shared" si="8"/>
        <v>26</v>
      </c>
      <c r="AH28" s="54">
        <v>72.53</v>
      </c>
      <c r="AI28" s="55">
        <v>188</v>
      </c>
      <c r="AJ28" s="150"/>
      <c r="AK28" s="75">
        <f t="shared" si="9"/>
        <v>26</v>
      </c>
      <c r="AL28" s="54">
        <v>30.3</v>
      </c>
      <c r="AM28" s="55">
        <v>270</v>
      </c>
      <c r="AN28" s="150"/>
      <c r="AO28" s="75">
        <f t="shared" si="10"/>
        <v>26</v>
      </c>
      <c r="AP28" s="54">
        <v>11.8</v>
      </c>
      <c r="AQ28" s="55">
        <v>90</v>
      </c>
      <c r="AR28" s="150"/>
      <c r="AS28" s="75">
        <f t="shared" si="11"/>
        <v>26</v>
      </c>
      <c r="AT28" s="54">
        <v>30.6</v>
      </c>
      <c r="AU28" s="55">
        <v>30</v>
      </c>
      <c r="AV28" s="150"/>
      <c r="AW28" s="67"/>
    </row>
    <row r="29" spans="1:49" s="49" customFormat="1" ht="11.25" x14ac:dyDescent="0.2">
      <c r="A29" s="73">
        <f t="shared" si="0"/>
        <v>27</v>
      </c>
      <c r="B29" s="54"/>
      <c r="C29" s="55"/>
      <c r="D29" s="150"/>
      <c r="E29" s="75">
        <f t="shared" si="1"/>
        <v>27</v>
      </c>
      <c r="F29" s="54">
        <v>10.4</v>
      </c>
      <c r="G29" s="55">
        <v>25</v>
      </c>
      <c r="H29" s="150"/>
      <c r="I29" s="75">
        <f t="shared" si="2"/>
        <v>27</v>
      </c>
      <c r="J29" s="54">
        <v>33.5</v>
      </c>
      <c r="K29" s="55">
        <v>275</v>
      </c>
      <c r="L29" s="150"/>
      <c r="M29" s="75">
        <f t="shared" si="3"/>
        <v>27</v>
      </c>
      <c r="N29" s="54">
        <v>10.4</v>
      </c>
      <c r="O29" s="55">
        <v>20</v>
      </c>
      <c r="P29" s="150"/>
      <c r="Q29" s="75">
        <f t="shared" si="4"/>
        <v>27</v>
      </c>
      <c r="R29" s="54">
        <v>10.72</v>
      </c>
      <c r="S29" s="55">
        <v>255</v>
      </c>
      <c r="T29" s="150"/>
      <c r="U29" s="75">
        <f t="shared" si="5"/>
        <v>27</v>
      </c>
      <c r="V29" s="54">
        <v>12.68</v>
      </c>
      <c r="W29" s="55">
        <v>100</v>
      </c>
      <c r="X29" s="150"/>
      <c r="Y29" s="75">
        <f t="shared" si="6"/>
        <v>27</v>
      </c>
      <c r="Z29" s="54">
        <v>51.259999999999991</v>
      </c>
      <c r="AA29" s="55">
        <v>613</v>
      </c>
      <c r="AB29" s="150"/>
      <c r="AC29" s="75">
        <f t="shared" si="7"/>
        <v>27</v>
      </c>
      <c r="AD29" s="54">
        <v>22.83</v>
      </c>
      <c r="AE29" s="55">
        <v>172</v>
      </c>
      <c r="AF29" s="150"/>
      <c r="AG29" s="75">
        <f t="shared" si="8"/>
        <v>27</v>
      </c>
      <c r="AH29" s="54">
        <v>14.36</v>
      </c>
      <c r="AI29" s="55">
        <v>343</v>
      </c>
      <c r="AJ29" s="150"/>
      <c r="AK29" s="75">
        <f t="shared" si="9"/>
        <v>27</v>
      </c>
      <c r="AL29" s="54">
        <v>18.7</v>
      </c>
      <c r="AM29" s="55">
        <v>87</v>
      </c>
      <c r="AN29" s="150"/>
      <c r="AO29" s="75">
        <f t="shared" si="10"/>
        <v>27</v>
      </c>
      <c r="AP29" s="54"/>
      <c r="AQ29" s="55"/>
      <c r="AR29" s="150"/>
      <c r="AS29" s="75">
        <f t="shared" si="11"/>
        <v>27</v>
      </c>
      <c r="AT29" s="54">
        <v>10.199999999999999</v>
      </c>
      <c r="AU29" s="55">
        <v>3</v>
      </c>
      <c r="AV29" s="150">
        <v>2.4305555555555556E-2</v>
      </c>
      <c r="AW29" s="67"/>
    </row>
    <row r="30" spans="1:49" s="49" customFormat="1" ht="11.25" x14ac:dyDescent="0.2">
      <c r="A30" s="73">
        <f t="shared" si="0"/>
        <v>28</v>
      </c>
      <c r="B30" s="54">
        <v>12.05</v>
      </c>
      <c r="C30" s="55">
        <v>68</v>
      </c>
      <c r="D30" s="150"/>
      <c r="E30" s="75">
        <f t="shared" si="1"/>
        <v>28</v>
      </c>
      <c r="F30" s="54">
        <v>32.200000000000003</v>
      </c>
      <c r="G30" s="55">
        <v>195</v>
      </c>
      <c r="H30" s="150"/>
      <c r="I30" s="75">
        <f t="shared" si="2"/>
        <v>28</v>
      </c>
      <c r="J30" s="54">
        <v>18.5</v>
      </c>
      <c r="K30" s="55">
        <v>157</v>
      </c>
      <c r="L30" s="150"/>
      <c r="M30" s="75">
        <f t="shared" si="3"/>
        <v>28</v>
      </c>
      <c r="N30" s="54">
        <v>10.199999999999999</v>
      </c>
      <c r="O30" s="55">
        <v>45</v>
      </c>
      <c r="P30" s="150"/>
      <c r="Q30" s="75">
        <f t="shared" si="4"/>
        <v>28</v>
      </c>
      <c r="R30" s="54">
        <v>18.8</v>
      </c>
      <c r="S30" s="55">
        <v>45</v>
      </c>
      <c r="T30" s="150"/>
      <c r="U30" s="75">
        <f t="shared" si="5"/>
        <v>28</v>
      </c>
      <c r="V30" s="54"/>
      <c r="W30" s="55"/>
      <c r="X30" s="150"/>
      <c r="Y30" s="75">
        <f t="shared" si="6"/>
        <v>28</v>
      </c>
      <c r="Z30" s="54">
        <v>17.399999999999999</v>
      </c>
      <c r="AA30" s="55">
        <v>78</v>
      </c>
      <c r="AB30" s="150"/>
      <c r="AC30" s="75">
        <f t="shared" si="7"/>
        <v>28</v>
      </c>
      <c r="AD30" s="54">
        <v>24.099999999999998</v>
      </c>
      <c r="AE30" s="55">
        <v>565</v>
      </c>
      <c r="AF30" s="150"/>
      <c r="AG30" s="75">
        <f t="shared" si="8"/>
        <v>28</v>
      </c>
      <c r="AH30" s="54"/>
      <c r="AI30" s="55"/>
      <c r="AJ30" s="150"/>
      <c r="AK30" s="75">
        <f t="shared" si="9"/>
        <v>28</v>
      </c>
      <c r="AL30" s="54">
        <v>19.760000000000002</v>
      </c>
      <c r="AM30" s="55">
        <v>139</v>
      </c>
      <c r="AN30" s="150"/>
      <c r="AO30" s="75">
        <f t="shared" si="10"/>
        <v>28</v>
      </c>
      <c r="AP30" s="54">
        <v>9.7100000000000009</v>
      </c>
      <c r="AQ30" s="55">
        <v>290</v>
      </c>
      <c r="AR30" s="150"/>
      <c r="AS30" s="75">
        <f t="shared" si="11"/>
        <v>28</v>
      </c>
      <c r="AT30" s="54">
        <v>28.1</v>
      </c>
      <c r="AU30" s="55">
        <v>160</v>
      </c>
      <c r="AV30" s="150"/>
      <c r="AW30" s="67"/>
    </row>
    <row r="31" spans="1:49" s="49" customFormat="1" ht="11.25" x14ac:dyDescent="0.2">
      <c r="A31" s="73">
        <f t="shared" si="0"/>
        <v>29</v>
      </c>
      <c r="B31" s="54">
        <v>12.8</v>
      </c>
      <c r="C31" s="55">
        <v>85</v>
      </c>
      <c r="D31" s="150"/>
      <c r="E31" s="75"/>
      <c r="F31" s="54"/>
      <c r="G31" s="55"/>
      <c r="H31" s="150"/>
      <c r="I31" s="75">
        <f t="shared" si="2"/>
        <v>29</v>
      </c>
      <c r="J31" s="54">
        <v>52.05</v>
      </c>
      <c r="K31" s="55">
        <v>571</v>
      </c>
      <c r="L31" s="150"/>
      <c r="M31" s="75">
        <f t="shared" si="3"/>
        <v>29</v>
      </c>
      <c r="N31" s="54">
        <v>14.7</v>
      </c>
      <c r="O31" s="55">
        <v>45</v>
      </c>
      <c r="P31" s="150"/>
      <c r="Q31" s="75">
        <f t="shared" si="4"/>
        <v>29</v>
      </c>
      <c r="R31" s="54">
        <v>33.4</v>
      </c>
      <c r="S31" s="55">
        <v>484</v>
      </c>
      <c r="T31" s="150"/>
      <c r="U31" s="75">
        <f t="shared" si="5"/>
        <v>29</v>
      </c>
      <c r="V31" s="54"/>
      <c r="W31" s="55"/>
      <c r="X31" s="150"/>
      <c r="Y31" s="75">
        <f t="shared" si="6"/>
        <v>29</v>
      </c>
      <c r="Z31" s="54"/>
      <c r="AA31" s="55"/>
      <c r="AB31" s="150"/>
      <c r="AC31" s="75">
        <f t="shared" si="7"/>
        <v>29</v>
      </c>
      <c r="AD31" s="54">
        <v>15.06</v>
      </c>
      <c r="AE31" s="55">
        <v>556</v>
      </c>
      <c r="AF31" s="150"/>
      <c r="AG31" s="75">
        <f t="shared" si="8"/>
        <v>29</v>
      </c>
      <c r="AH31" s="54"/>
      <c r="AI31" s="55"/>
      <c r="AJ31" s="150"/>
      <c r="AK31" s="75">
        <f t="shared" si="9"/>
        <v>29</v>
      </c>
      <c r="AL31" s="54">
        <v>22.83</v>
      </c>
      <c r="AM31" s="55">
        <v>172</v>
      </c>
      <c r="AN31" s="150"/>
      <c r="AO31" s="75">
        <f t="shared" si="10"/>
        <v>29</v>
      </c>
      <c r="AP31" s="54">
        <v>78</v>
      </c>
      <c r="AQ31" s="55">
        <v>150</v>
      </c>
      <c r="AR31" s="150"/>
      <c r="AS31" s="75">
        <f t="shared" si="11"/>
        <v>29</v>
      </c>
      <c r="AT31" s="54">
        <v>10.1</v>
      </c>
      <c r="AU31" s="55">
        <v>13</v>
      </c>
      <c r="AV31" s="150"/>
      <c r="AW31" s="67"/>
    </row>
    <row r="32" spans="1:49" s="49" customFormat="1" ht="11.25" x14ac:dyDescent="0.2">
      <c r="A32" s="73">
        <f t="shared" si="0"/>
        <v>30</v>
      </c>
      <c r="B32" s="54">
        <v>14.01</v>
      </c>
      <c r="C32" s="55">
        <v>157</v>
      </c>
      <c r="D32" s="150"/>
      <c r="E32" s="75"/>
      <c r="F32" s="54"/>
      <c r="G32" s="55"/>
      <c r="H32" s="150"/>
      <c r="I32" s="75">
        <f t="shared" si="2"/>
        <v>30</v>
      </c>
      <c r="J32" s="54">
        <v>71.86999999999999</v>
      </c>
      <c r="K32" s="55">
        <v>896</v>
      </c>
      <c r="L32" s="150"/>
      <c r="M32" s="75">
        <f t="shared" si="3"/>
        <v>30</v>
      </c>
      <c r="N32" s="54">
        <v>18.529999999999998</v>
      </c>
      <c r="O32" s="55">
        <v>419</v>
      </c>
      <c r="P32" s="150"/>
      <c r="Q32" s="75">
        <f t="shared" si="4"/>
        <v>30</v>
      </c>
      <c r="R32" s="54">
        <v>10.7</v>
      </c>
      <c r="S32" s="55">
        <v>30</v>
      </c>
      <c r="T32" s="150"/>
      <c r="U32" s="75">
        <f t="shared" si="5"/>
        <v>30</v>
      </c>
      <c r="V32" s="54">
        <v>14.36</v>
      </c>
      <c r="W32" s="55">
        <v>343</v>
      </c>
      <c r="X32" s="150"/>
      <c r="Y32" s="75">
        <f t="shared" si="6"/>
        <v>30</v>
      </c>
      <c r="Z32" s="54"/>
      <c r="AA32" s="55"/>
      <c r="AB32" s="150"/>
      <c r="AC32" s="75">
        <f t="shared" si="7"/>
        <v>30</v>
      </c>
      <c r="AD32" s="54">
        <v>38.14</v>
      </c>
      <c r="AE32" s="55">
        <v>576</v>
      </c>
      <c r="AF32" s="150"/>
      <c r="AG32" s="75">
        <f t="shared" si="8"/>
        <v>30</v>
      </c>
      <c r="AH32" s="54"/>
      <c r="AI32" s="55"/>
      <c r="AJ32" s="150"/>
      <c r="AK32" s="75">
        <f t="shared" si="9"/>
        <v>30</v>
      </c>
      <c r="AL32" s="54">
        <v>24.66</v>
      </c>
      <c r="AM32" s="55">
        <v>25</v>
      </c>
      <c r="AN32" s="150"/>
      <c r="AO32" s="75">
        <f t="shared" si="10"/>
        <v>30</v>
      </c>
      <c r="AP32" s="54">
        <v>50.3</v>
      </c>
      <c r="AQ32" s="55">
        <v>46</v>
      </c>
      <c r="AR32" s="150"/>
      <c r="AS32" s="75">
        <f t="shared" si="11"/>
        <v>30</v>
      </c>
      <c r="AT32" s="54">
        <v>10.3</v>
      </c>
      <c r="AU32" s="55">
        <v>3</v>
      </c>
      <c r="AV32" s="150"/>
      <c r="AW32" s="67"/>
    </row>
    <row r="33" spans="1:49" s="49" customFormat="1" ht="11.25" x14ac:dyDescent="0.2">
      <c r="A33" s="74">
        <f t="shared" si="0"/>
        <v>31</v>
      </c>
      <c r="B33" s="62">
        <v>15.559999999999999</v>
      </c>
      <c r="C33" s="63">
        <v>367</v>
      </c>
      <c r="D33" s="151"/>
      <c r="E33" s="76"/>
      <c r="F33" s="62"/>
      <c r="G33" s="63"/>
      <c r="H33" s="151"/>
      <c r="I33" s="76">
        <f t="shared" si="2"/>
        <v>31</v>
      </c>
      <c r="J33" s="62">
        <v>9.86</v>
      </c>
      <c r="K33" s="63">
        <v>58</v>
      </c>
      <c r="L33" s="151"/>
      <c r="M33" s="76"/>
      <c r="N33" s="62"/>
      <c r="O33" s="63"/>
      <c r="P33" s="151"/>
      <c r="Q33" s="76">
        <f t="shared" si="4"/>
        <v>31</v>
      </c>
      <c r="R33" s="62">
        <v>26</v>
      </c>
      <c r="S33" s="63">
        <v>477</v>
      </c>
      <c r="T33" s="151"/>
      <c r="U33" s="76"/>
      <c r="V33" s="62"/>
      <c r="W33" s="63"/>
      <c r="X33" s="151"/>
      <c r="Y33" s="76">
        <f t="shared" si="6"/>
        <v>31</v>
      </c>
      <c r="Z33" s="62"/>
      <c r="AA33" s="63"/>
      <c r="AB33" s="151">
        <v>4.1666666666666664E-2</v>
      </c>
      <c r="AC33" s="76">
        <f t="shared" si="7"/>
        <v>31</v>
      </c>
      <c r="AD33" s="62">
        <v>33.589999999999996</v>
      </c>
      <c r="AE33" s="63">
        <v>431</v>
      </c>
      <c r="AF33" s="151"/>
      <c r="AG33" s="76"/>
      <c r="AH33" s="62"/>
      <c r="AI33" s="63"/>
      <c r="AJ33" s="151"/>
      <c r="AK33" s="76">
        <f t="shared" si="9"/>
        <v>31</v>
      </c>
      <c r="AL33" s="62">
        <v>22.189999999999998</v>
      </c>
      <c r="AM33" s="63">
        <v>523</v>
      </c>
      <c r="AN33" s="151"/>
      <c r="AO33" s="76"/>
      <c r="AP33" s="62"/>
      <c r="AQ33" s="63"/>
      <c r="AR33" s="151"/>
      <c r="AS33" s="76">
        <f t="shared" si="11"/>
        <v>31</v>
      </c>
      <c r="AT33" s="62">
        <v>10.8</v>
      </c>
      <c r="AU33" s="63">
        <v>35</v>
      </c>
      <c r="AV33" s="151"/>
      <c r="AW33" s="67"/>
    </row>
    <row r="34" spans="1:49" s="49" customFormat="1" ht="11.25" x14ac:dyDescent="0.2">
      <c r="A34" s="45" t="s">
        <v>92</v>
      </c>
      <c r="B34" s="47">
        <f>SUM(B3:B33)</f>
        <v>546.27</v>
      </c>
      <c r="C34" s="48">
        <f>SUM(C3:C33)</f>
        <v>5009</v>
      </c>
      <c r="D34" s="79">
        <f>(SUM(D3:D33)/D39)*C39</f>
        <v>32</v>
      </c>
      <c r="E34" s="65"/>
      <c r="F34" s="47">
        <f>SUM(F3:F33)</f>
        <v>565.63000000000011</v>
      </c>
      <c r="G34" s="48">
        <f>SUM(G3:G33)</f>
        <v>5327</v>
      </c>
      <c r="H34" s="79">
        <f>(SUM(H3:H33)/D39)*C39</f>
        <v>12</v>
      </c>
      <c r="I34" s="65"/>
      <c r="J34" s="47">
        <f>SUM(J3:J33)</f>
        <v>755.75</v>
      </c>
      <c r="K34" s="48">
        <f>SUM(K3:K33)</f>
        <v>6998</v>
      </c>
      <c r="L34" s="79">
        <f>(SUM(L3:L33)/D39)*C39</f>
        <v>0</v>
      </c>
      <c r="M34" s="77"/>
      <c r="N34" s="47">
        <f>SUM(N3:N33)</f>
        <v>666.2750000000002</v>
      </c>
      <c r="O34" s="48">
        <f>SUM(O3:O33)</f>
        <v>8106</v>
      </c>
      <c r="P34" s="79">
        <f>(SUM(P3:P33)/D39)*C39</f>
        <v>60.000000000000014</v>
      </c>
      <c r="Q34" s="65"/>
      <c r="R34" s="47">
        <f>SUM(R3:R33)</f>
        <v>790.39</v>
      </c>
      <c r="S34" s="48">
        <f>SUM(S3:S33)</f>
        <v>8627</v>
      </c>
      <c r="T34" s="79">
        <f>(SUM(T3:T33)/D39)*C39</f>
        <v>30.000000000000007</v>
      </c>
      <c r="U34" s="65"/>
      <c r="V34" s="47">
        <f>SUM(V3:V33)</f>
        <v>810.99999999999989</v>
      </c>
      <c r="W34" s="48">
        <f>SUM(W3:W33)</f>
        <v>8882</v>
      </c>
      <c r="X34" s="79">
        <f>(SUM(X3:X33)/D39)*C39</f>
        <v>0</v>
      </c>
      <c r="Y34" s="65"/>
      <c r="Z34" s="47">
        <f>SUM(Z3:Z33)</f>
        <v>665.43499999999983</v>
      </c>
      <c r="AA34" s="48">
        <f>SUM(AA3:AA33)</f>
        <v>8249</v>
      </c>
      <c r="AB34" s="79">
        <f>(SUM(AB3:AB33)/D39)*C39</f>
        <v>110.79999999999998</v>
      </c>
      <c r="AC34" s="65"/>
      <c r="AD34" s="47">
        <f>SUM(AD3:AD33)</f>
        <v>714.19</v>
      </c>
      <c r="AE34" s="48">
        <f>SUM(AE3:AE33)</f>
        <v>11173</v>
      </c>
      <c r="AF34" s="79">
        <f>(SUM(AF3:AF33)/D39)*C39</f>
        <v>0</v>
      </c>
      <c r="AG34" s="65"/>
      <c r="AH34" s="54">
        <f>SUM(AH3:AH33)</f>
        <v>668.55</v>
      </c>
      <c r="AI34" s="48">
        <f>SUM(AI3:AI33)</f>
        <v>6681</v>
      </c>
      <c r="AJ34" s="79">
        <f>(SUM(AJ3:AJ33)/D39)*C39</f>
        <v>15.200000000000003</v>
      </c>
      <c r="AK34" s="65"/>
      <c r="AL34" s="47">
        <f>SUM(AL3:AL33)</f>
        <v>531.12000000000012</v>
      </c>
      <c r="AM34" s="48">
        <f>SUM(AM3:AM33)</f>
        <v>6127</v>
      </c>
      <c r="AN34" s="79">
        <f>(SUM(AN3:AN33)/D39)*C39</f>
        <v>25.600000000000005</v>
      </c>
      <c r="AO34" s="65"/>
      <c r="AP34" s="47">
        <f>SUM(AP3:AP33)</f>
        <v>830.34</v>
      </c>
      <c r="AQ34" s="48">
        <f>SUM(AQ3:AQ33)</f>
        <v>7503</v>
      </c>
      <c r="AR34" s="79">
        <f>(SUM(AR3:AR33)/D39)*C39</f>
        <v>36</v>
      </c>
      <c r="AS34" s="65"/>
      <c r="AT34" s="47">
        <f>SUM(AT3:AT33)</f>
        <v>568.93999999999994</v>
      </c>
      <c r="AU34" s="48">
        <f>SUM(AU3:AU33)</f>
        <v>5431</v>
      </c>
      <c r="AV34" s="79">
        <f>(SUM(AV3:AV33)/D39)*C39</f>
        <v>14</v>
      </c>
      <c r="AW34" s="67"/>
    </row>
    <row r="35" spans="1:49" s="52" customFormat="1" ht="11.25" x14ac:dyDescent="0.2">
      <c r="A35" s="46" t="s">
        <v>93</v>
      </c>
      <c r="B35" s="50">
        <f>B34</f>
        <v>546.27</v>
      </c>
      <c r="C35" s="51">
        <f>C34</f>
        <v>5009</v>
      </c>
      <c r="D35" s="80">
        <f>D34</f>
        <v>32</v>
      </c>
      <c r="E35" s="66"/>
      <c r="F35" s="50">
        <f>F34+B35</f>
        <v>1111.9000000000001</v>
      </c>
      <c r="G35" s="51">
        <f>G34+C35</f>
        <v>10336</v>
      </c>
      <c r="H35" s="80">
        <f>H34+D35</f>
        <v>44</v>
      </c>
      <c r="I35" s="66"/>
      <c r="J35" s="50">
        <f>J34+F35</f>
        <v>1867.65</v>
      </c>
      <c r="K35" s="51">
        <f>K34+G35</f>
        <v>17334</v>
      </c>
      <c r="L35" s="80">
        <f>L34+H35</f>
        <v>44</v>
      </c>
      <c r="M35" s="66"/>
      <c r="N35" s="50">
        <f>N34+J35</f>
        <v>2533.9250000000002</v>
      </c>
      <c r="O35" s="51">
        <f>O34+K35</f>
        <v>25440</v>
      </c>
      <c r="P35" s="80">
        <f>P34+L35</f>
        <v>104.00000000000001</v>
      </c>
      <c r="Q35" s="66"/>
      <c r="R35" s="50">
        <f>R34+N35</f>
        <v>3324.3150000000001</v>
      </c>
      <c r="S35" s="51">
        <f>S34+O35</f>
        <v>34067</v>
      </c>
      <c r="T35" s="80">
        <f>T34+P35</f>
        <v>134.00000000000003</v>
      </c>
      <c r="U35" s="66"/>
      <c r="V35" s="50">
        <f>V34+R35</f>
        <v>4135.3149999999996</v>
      </c>
      <c r="W35" s="51">
        <f>W34+S35</f>
        <v>42949</v>
      </c>
      <c r="X35" s="80">
        <f>X34+T35</f>
        <v>134.00000000000003</v>
      </c>
      <c r="Y35" s="66"/>
      <c r="Z35" s="50">
        <f>Z34+V35</f>
        <v>4800.7499999999991</v>
      </c>
      <c r="AA35" s="51">
        <f>AA34+W35</f>
        <v>51198</v>
      </c>
      <c r="AB35" s="80">
        <f>AB34+X35</f>
        <v>244.8</v>
      </c>
      <c r="AC35" s="66"/>
      <c r="AD35" s="50">
        <f>AD34+Z35</f>
        <v>5514.9399999999987</v>
      </c>
      <c r="AE35" s="51">
        <f>AE34+AA35</f>
        <v>62371</v>
      </c>
      <c r="AF35" s="80">
        <f>AF34+AB35</f>
        <v>244.8</v>
      </c>
      <c r="AG35" s="66"/>
      <c r="AH35" s="86">
        <f>AH34+AD35</f>
        <v>6183.4899999999989</v>
      </c>
      <c r="AI35" s="51">
        <f>AI34+AE35</f>
        <v>69052</v>
      </c>
      <c r="AJ35" s="80">
        <f>AJ34+AF35</f>
        <v>260</v>
      </c>
      <c r="AK35" s="66"/>
      <c r="AL35" s="50">
        <f>AL34+AH35</f>
        <v>6714.6099999999988</v>
      </c>
      <c r="AM35" s="51">
        <f>AM34+AI35</f>
        <v>75179</v>
      </c>
      <c r="AN35" s="80">
        <f>AN34+AJ35</f>
        <v>285.60000000000002</v>
      </c>
      <c r="AO35" s="66"/>
      <c r="AP35" s="50">
        <f>AP34+AL35</f>
        <v>7544.9499999999989</v>
      </c>
      <c r="AQ35" s="51">
        <f>AQ34+AM35</f>
        <v>82682</v>
      </c>
      <c r="AR35" s="80">
        <f>AR34+AN35</f>
        <v>321.60000000000002</v>
      </c>
      <c r="AS35" s="66"/>
      <c r="AT35" s="50">
        <f>AT34+AP35</f>
        <v>8113.8899999999985</v>
      </c>
      <c r="AU35" s="51">
        <f>AU34+AQ35</f>
        <v>88113</v>
      </c>
      <c r="AV35" s="80">
        <f>AV34+AR35</f>
        <v>335.6</v>
      </c>
      <c r="AW35" s="92"/>
    </row>
    <row r="36" spans="1:49" s="49" customFormat="1" ht="11.25" x14ac:dyDescent="0.2">
      <c r="A36" s="49" t="s">
        <v>149</v>
      </c>
      <c r="B36" s="315">
        <f>MAX(B3:B33)</f>
        <v>67.06</v>
      </c>
      <c r="C36" s="55">
        <f>MAX(C3:C33)</f>
        <v>444</v>
      </c>
      <c r="D36" s="152">
        <f>MAX(D3:D33)</f>
        <v>5.5555555555555552E-2</v>
      </c>
      <c r="E36" s="67"/>
      <c r="F36" s="54">
        <f>MAX(F3:F33)</f>
        <v>44.000000000000007</v>
      </c>
      <c r="G36" s="55">
        <f>MAX(G3:G33)</f>
        <v>757</v>
      </c>
      <c r="H36" s="152">
        <f>MAX(H3:H33)</f>
        <v>2.0833333333333332E-2</v>
      </c>
      <c r="I36" s="67"/>
      <c r="J36" s="54">
        <f>MAX(J3:J33)</f>
        <v>72.22</v>
      </c>
      <c r="K36" s="55">
        <f>MAX(K3:K33)</f>
        <v>1457</v>
      </c>
      <c r="L36" s="152">
        <f>MAX(L3:L33)</f>
        <v>0</v>
      </c>
      <c r="M36" s="67"/>
      <c r="N36" s="54">
        <f>MAX(N3:N33)</f>
        <v>53.86</v>
      </c>
      <c r="O36" s="55">
        <f>MAX(O3:O33)</f>
        <v>1123</v>
      </c>
      <c r="P36" s="152">
        <f>MAX(P3:P33)</f>
        <v>0.10416666666666667</v>
      </c>
      <c r="Q36" s="67"/>
      <c r="R36" s="54">
        <f>MAX(R3:R33)</f>
        <v>111.31</v>
      </c>
      <c r="S36" s="55">
        <f>MAX(S3:S33)</f>
        <v>1460</v>
      </c>
      <c r="T36" s="152">
        <f>MAX(T3:T33)</f>
        <v>5.2083333333333336E-2</v>
      </c>
      <c r="U36" s="67"/>
      <c r="V36" s="315">
        <f>MAX(V3:V33)</f>
        <v>154.47999999999999</v>
      </c>
      <c r="W36" s="55">
        <f>MAX(W3:W33)</f>
        <v>1552</v>
      </c>
      <c r="X36" s="152">
        <f>MAX(X3:X33)</f>
        <v>0</v>
      </c>
      <c r="Y36" s="67"/>
      <c r="Z36" s="54">
        <f>MAX(Z3:Z33)</f>
        <v>66.44</v>
      </c>
      <c r="AA36" s="55">
        <f>MAX(AA3:AA33)</f>
        <v>1016</v>
      </c>
      <c r="AB36" s="152">
        <f>MAX(AB3:AB33)</f>
        <v>8.3333333333333329E-2</v>
      </c>
      <c r="AC36" s="67"/>
      <c r="AD36" s="54">
        <f>MAX(AD3:AD33)</f>
        <v>98.16</v>
      </c>
      <c r="AE36" s="55">
        <f>MAX(AE3:AE33)</f>
        <v>1445</v>
      </c>
      <c r="AF36" s="152">
        <f>MAX(AF3:AF33)</f>
        <v>0</v>
      </c>
      <c r="AG36" s="67"/>
      <c r="AH36" s="54">
        <f>MAX(AH3:AH33)</f>
        <v>72.53</v>
      </c>
      <c r="AI36" s="55">
        <f>MAX(AI3:AI33)</f>
        <v>750</v>
      </c>
      <c r="AJ36" s="152">
        <f>MAX(AJ3:AJ33)</f>
        <v>2.6388888888888889E-2</v>
      </c>
      <c r="AK36" s="67"/>
      <c r="AL36" s="54">
        <f>MAX(AL3:AL33)</f>
        <v>50.4</v>
      </c>
      <c r="AM36" s="314">
        <f>MAX(AM3:AM33)</f>
        <v>1437</v>
      </c>
      <c r="AN36" s="152">
        <f>MAX(AN3:AN33)</f>
        <v>4.4444444444444446E-2</v>
      </c>
      <c r="AO36" s="67"/>
      <c r="AP36" s="54">
        <f>MAX(AP3:AP33)</f>
        <v>78</v>
      </c>
      <c r="AQ36" s="55">
        <f>MAX(AQ3:AQ33)</f>
        <v>1290</v>
      </c>
      <c r="AR36" s="152">
        <f>MAX(AR3:AR33)</f>
        <v>4.1666666666666664E-2</v>
      </c>
      <c r="AS36" s="67"/>
      <c r="AT36" s="54">
        <f>MAX(AT3:AT33)</f>
        <v>59</v>
      </c>
      <c r="AU36" s="55">
        <f>MAX(AU3:AU33)</f>
        <v>607</v>
      </c>
      <c r="AV36" s="152">
        <f>MAX(AV3:AV33)</f>
        <v>2.4305555555555556E-2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19.509642857142858</v>
      </c>
      <c r="C37" s="55">
        <f>IFERROR(AVERAGE(C3:C33),0)</f>
        <v>178.89285714285714</v>
      </c>
      <c r="D37" s="152">
        <f>IFERROR(AVERAGE(D3:D33),0)</f>
        <v>5.5555555555555552E-2</v>
      </c>
      <c r="E37" s="67"/>
      <c r="F37" s="54">
        <f>IFERROR(AVERAGE(F3:F33),0)</f>
        <v>20.949259259259264</v>
      </c>
      <c r="G37" s="55">
        <f>IFERROR(AVERAGE(G3:G33),0)</f>
        <v>197.2962962962963</v>
      </c>
      <c r="H37" s="152">
        <f>IFERROR(AVERAGE(H3:H33),0)</f>
        <v>2.0833333333333332E-2</v>
      </c>
      <c r="I37" s="67"/>
      <c r="J37" s="54">
        <f>IFERROR(AVERAGE(J3:J33),0)</f>
        <v>27.99074074074074</v>
      </c>
      <c r="K37" s="55">
        <f>IFERROR(AVERAGE(K3:K33),0)</f>
        <v>259.18518518518516</v>
      </c>
      <c r="L37" s="152">
        <f>IFERROR(AVERAGE(L3:L33),0)</f>
        <v>0</v>
      </c>
      <c r="M37" s="67"/>
      <c r="N37" s="54">
        <f>IFERROR(AVERAGE(N3:N33),0)</f>
        <v>22.209166666666672</v>
      </c>
      <c r="O37" s="55">
        <f>IFERROR(AVERAGE(O3:O33),0)</f>
        <v>270.2</v>
      </c>
      <c r="P37" s="152">
        <f>IFERROR(AVERAGE(P3:P33),0)</f>
        <v>0.10416666666666667</v>
      </c>
      <c r="Q37" s="67"/>
      <c r="R37" s="54">
        <f>IFERROR(AVERAGE(R3:R33),0)</f>
        <v>25.496451612903225</v>
      </c>
      <c r="S37" s="55">
        <f>IFERROR(AVERAGE(S3:S33),0)</f>
        <v>278.29032258064518</v>
      </c>
      <c r="T37" s="152">
        <f>IFERROR(AVERAGE(T3:T33),0)</f>
        <v>5.2083333333333336E-2</v>
      </c>
      <c r="U37" s="67"/>
      <c r="V37" s="54">
        <f>IFERROR(AVERAGE(V3:V33),0)</f>
        <v>32.44</v>
      </c>
      <c r="W37" s="55">
        <f>IFERROR(AVERAGE(W3:W33),0)</f>
        <v>355.28</v>
      </c>
      <c r="X37" s="152">
        <f>IFERROR(AVERAGE(X3:X33),0)</f>
        <v>0</v>
      </c>
      <c r="Y37" s="67"/>
      <c r="Z37" s="54">
        <f>IFERROR(AVERAGE(Z3:Z33),0)</f>
        <v>23.765535714285708</v>
      </c>
      <c r="AA37" s="55">
        <f>IFERROR(AVERAGE(AA3:AA33),0)</f>
        <v>294.60714285714283</v>
      </c>
      <c r="AB37" s="152">
        <f>IFERROR(AVERAGE(AB3:AB33),0)</f>
        <v>4.8090277777777773E-2</v>
      </c>
      <c r="AC37" s="67"/>
      <c r="AD37" s="54">
        <f>IFERROR(AVERAGE(AD3:AD33),0)</f>
        <v>23.806333333333335</v>
      </c>
      <c r="AE37" s="55">
        <f>IFERROR(AVERAGE(AE3:AE33),0)</f>
        <v>372.43333333333334</v>
      </c>
      <c r="AF37" s="152">
        <f>IFERROR(AVERAGE(AF3:AF33),0)</f>
        <v>0</v>
      </c>
      <c r="AG37" s="67"/>
      <c r="AH37" s="54">
        <f>IFERROR(AVERAGE(AH3:AH33),0)</f>
        <v>24.761111111111109</v>
      </c>
      <c r="AI37" s="55">
        <f>IFERROR(AVERAGE(AI3:AI33),0)</f>
        <v>247.44444444444446</v>
      </c>
      <c r="AJ37" s="152">
        <f>IFERROR(AVERAGE(AJ3:AJ33),0)</f>
        <v>2.6388888888888889E-2</v>
      </c>
      <c r="AK37" s="67"/>
      <c r="AL37" s="54">
        <f>IFERROR(AVERAGE(AL3:AL33),0)</f>
        <v>20.427692307692311</v>
      </c>
      <c r="AM37" s="55">
        <f>IFERROR(AVERAGE(AM3:AM33),0)</f>
        <v>235.65384615384616</v>
      </c>
      <c r="AN37" s="152">
        <f>IFERROR(AVERAGE(AN3:AN33),0)</f>
        <v>4.4444444444444446E-2</v>
      </c>
      <c r="AO37" s="67"/>
      <c r="AP37" s="54">
        <f>IFERROR(AVERAGE(AP3:AP33),0)</f>
        <v>30.753333333333334</v>
      </c>
      <c r="AQ37" s="55">
        <f>IFERROR(AVERAGE(AQ3:AQ33),0)</f>
        <v>277.88888888888891</v>
      </c>
      <c r="AR37" s="152">
        <f>IFERROR(AVERAGE(AR3:AR33),0)</f>
        <v>3.125E-2</v>
      </c>
      <c r="AS37" s="67"/>
      <c r="AT37" s="54">
        <f>IFERROR(AVERAGE(AT3:AT33),0)</f>
        <v>20.319285714285712</v>
      </c>
      <c r="AU37" s="55">
        <f>IFERROR(AVERAGE(AU3:AU33),0)</f>
        <v>193.96428571428572</v>
      </c>
      <c r="AV37" s="152">
        <f>IFERROR(AVERAGE(AV3:AV33),0)</f>
        <v>2.4305555555555556E-2</v>
      </c>
      <c r="AW37" s="67"/>
    </row>
    <row r="38" spans="1:49" s="49" customFormat="1" ht="11.25" x14ac:dyDescent="0.2">
      <c r="A38" s="49" t="s">
        <v>236</v>
      </c>
      <c r="B38" s="54">
        <f>B34-'13'!B34</f>
        <v>103.71000000000004</v>
      </c>
      <c r="C38" s="78">
        <f>C34-'13'!C34</f>
        <v>-4233</v>
      </c>
      <c r="D38" s="105">
        <f>IF(B34+D34=0,0,D34/(B34+D34))</f>
        <v>5.5337472115101941E-2</v>
      </c>
      <c r="E38" s="67"/>
      <c r="F38" s="54">
        <f>F34-'13'!F34</f>
        <v>330.23000000000013</v>
      </c>
      <c r="G38" s="78">
        <f>G34-'13'!G34</f>
        <v>3660</v>
      </c>
      <c r="H38" s="105">
        <f>IF(F34+H34=0,0,H34/(F34+H34))</f>
        <v>2.0774544258435328E-2</v>
      </c>
      <c r="I38" s="67"/>
      <c r="J38" s="54">
        <f>J34-'13'!J34</f>
        <v>198</v>
      </c>
      <c r="K38" s="78">
        <f>K34-'13'!K34</f>
        <v>1931</v>
      </c>
      <c r="L38" s="105">
        <f>IF(J34+L34=0,0,L34/(J34+L34))</f>
        <v>0</v>
      </c>
      <c r="M38" s="67"/>
      <c r="N38" s="54">
        <f>N34-'13'!N34</f>
        <v>90.425000000000296</v>
      </c>
      <c r="O38" s="78">
        <f>O34-'13'!O34</f>
        <v>1683</v>
      </c>
      <c r="P38" s="105">
        <f>IF(N34+P34=0,0,P34/(N34+P34))</f>
        <v>8.2613335169185217E-2</v>
      </c>
      <c r="Q38" s="67"/>
      <c r="R38" s="54">
        <f>R34-'13'!R34</f>
        <v>418.83999999999992</v>
      </c>
      <c r="S38" s="78">
        <f>S34-'13'!S34</f>
        <v>3462</v>
      </c>
      <c r="T38" s="105">
        <f>IF(R34+T34=0,0,T34/(R34+T34))</f>
        <v>3.6567973768573493E-2</v>
      </c>
      <c r="U38" s="67"/>
      <c r="V38" s="54">
        <f>V34-'13'!V34</f>
        <v>-108.34000000000003</v>
      </c>
      <c r="W38" s="78">
        <f>W34-'13'!W34</f>
        <v>-3778</v>
      </c>
      <c r="X38" s="105">
        <f>IF(V34+X34=0,0,X34/(V34+X34))</f>
        <v>0</v>
      </c>
      <c r="Y38" s="67"/>
      <c r="Z38" s="54">
        <f>Z34-'13'!Z34</f>
        <v>-107.19500000000016</v>
      </c>
      <c r="AA38" s="78">
        <f>AA34-'13'!AA34</f>
        <v>-4029</v>
      </c>
      <c r="AB38" s="105">
        <f>IF(Z34+AB34=0,0,AB34/(Z34+AB34))</f>
        <v>0.14274027839507367</v>
      </c>
      <c r="AC38" s="67"/>
      <c r="AD38" s="54">
        <f>AD34-'13'!AD34</f>
        <v>-21.020000000000095</v>
      </c>
      <c r="AE38" s="78">
        <f>AE34-'13'!AE34</f>
        <v>2555</v>
      </c>
      <c r="AF38" s="105">
        <f>IF(AD34+AF34=0,0,AF34/(AD34+AF34))</f>
        <v>0</v>
      </c>
      <c r="AG38" s="67"/>
      <c r="AH38" s="54">
        <f>AH34-'13'!AH34</f>
        <v>-189.46000000000004</v>
      </c>
      <c r="AI38" s="78">
        <f>AI34-'13'!AI34</f>
        <v>-3591</v>
      </c>
      <c r="AJ38" s="105">
        <f>IF(AH34+AJ34=0,0,AJ34/(AH34+AJ34))</f>
        <v>2.2230347349177334E-2</v>
      </c>
      <c r="AK38" s="67"/>
      <c r="AL38" s="54">
        <f>AL34-'13'!AL34</f>
        <v>-168.29999999999995</v>
      </c>
      <c r="AM38" s="78">
        <f>AM34-'13'!AM34</f>
        <v>-1353</v>
      </c>
      <c r="AN38" s="105">
        <f>IF(AL34+AN34=0,0,AN34/(AL34+AN34))</f>
        <v>4.5983618335967806E-2</v>
      </c>
      <c r="AO38" s="67"/>
      <c r="AP38" s="54">
        <f>AP34-'13'!AP34</f>
        <v>303.25</v>
      </c>
      <c r="AQ38" s="78">
        <f>AQ34-'13'!AQ34</f>
        <v>3283</v>
      </c>
      <c r="AR38" s="105">
        <f>IF(AP34+AR34=0,0,AR34/(AP34+AR34))</f>
        <v>4.1554124246831498E-2</v>
      </c>
      <c r="AS38" s="67"/>
      <c r="AT38" s="54">
        <f>AT34-'13'!AT34</f>
        <v>103.88</v>
      </c>
      <c r="AU38" s="78">
        <f>AU34-'13'!AU34</f>
        <v>1471</v>
      </c>
      <c r="AV38" s="105">
        <f>IF(AT34+AV34=0,0,AV34/(AT34+AV34))</f>
        <v>2.4016193776374928E-2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G39" s="217"/>
      <c r="H39" s="169"/>
      <c r="I39" s="168"/>
      <c r="J39" s="50">
        <f>SUM(B34,F34,J34)</f>
        <v>1867.65</v>
      </c>
      <c r="K39" s="51">
        <f t="shared" ref="K39:L39" si="12">SUM(C34,G34,K34)</f>
        <v>17334</v>
      </c>
      <c r="L39" s="170">
        <f t="shared" si="12"/>
        <v>44</v>
      </c>
      <c r="M39" s="168"/>
      <c r="P39" s="169"/>
      <c r="Q39" s="168"/>
      <c r="T39" s="169"/>
      <c r="U39" s="168"/>
      <c r="V39" s="50">
        <f>SUM(N34,R34,V34)</f>
        <v>2267.665</v>
      </c>
      <c r="W39" s="51">
        <f>SUM(O34,S34,W34)</f>
        <v>25615</v>
      </c>
      <c r="X39" s="170">
        <f>SUM(P34,T34,X34)</f>
        <v>90.000000000000028</v>
      </c>
      <c r="Y39" s="168"/>
      <c r="AB39" s="169"/>
      <c r="AC39" s="168"/>
      <c r="AF39" s="169"/>
      <c r="AG39" s="168"/>
      <c r="AH39" s="86">
        <f>SUM(Z34,AD34,AH34)</f>
        <v>2048.1750000000002</v>
      </c>
      <c r="AI39" s="51">
        <f>SUM(AA34,AE34,AI34)</f>
        <v>26103</v>
      </c>
      <c r="AJ39" s="170">
        <f>SUM(AB34,AF34,AJ34)</f>
        <v>125.99999999999999</v>
      </c>
      <c r="AK39" s="168"/>
      <c r="AN39" s="169"/>
      <c r="AO39" s="168"/>
      <c r="AR39" s="169"/>
      <c r="AS39" s="168"/>
      <c r="AT39" s="50">
        <f>SUM(AL34,AP34,AT34)</f>
        <v>1930.4</v>
      </c>
      <c r="AU39" s="51">
        <f>SUM(AM34,AQ34,AU34)</f>
        <v>19061</v>
      </c>
      <c r="AV39" s="170">
        <f>SUM(AN34,AR34,AV34)</f>
        <v>75.600000000000009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22.816547619047622</v>
      </c>
      <c r="K40" s="55">
        <f>IFERROR(AVERAGE(C37,G37,K37),0)</f>
        <v>211.79144620811289</v>
      </c>
      <c r="L40" s="152">
        <f>IFERROR(AVERAGE(D37,H37,L37),0)</f>
        <v>2.5462962962962962E-2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26.715206093189966</v>
      </c>
      <c r="W40" s="55">
        <f>IFERROR(AVERAGE(O37,S37,W37),0)</f>
        <v>301.25677419354838</v>
      </c>
      <c r="X40" s="152">
        <f>IFERROR(AVERAGE(P37,T37,X37),0)</f>
        <v>5.2083333333333336E-2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24.110993386243383</v>
      </c>
      <c r="AI40" s="55">
        <f>IFERROR(AVERAGE(AA37,AE37,AI37),0)</f>
        <v>304.82830687830688</v>
      </c>
      <c r="AJ40" s="152">
        <f>IFERROR(AVERAGE(AB37,AF37,AJ37),0)</f>
        <v>2.4826388888888887E-2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23.833437118437118</v>
      </c>
      <c r="AU40" s="55">
        <f>IFERROR(AVERAGE(AM37,AQ37,AU37),0)</f>
        <v>235.83567358567362</v>
      </c>
      <c r="AV40" s="152">
        <f>IFERROR(AVERAGE(AN37,AR37,AV37),0)</f>
        <v>3.3333333333333333E-2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11</v>
      </c>
      <c r="C41" s="96">
        <f>RANK(C34,(C34,G34,K34,O34,S34,W34,AA34,AE34,AI34,AM34,AQ34,AU34))</f>
        <v>12</v>
      </c>
      <c r="D41" s="102">
        <f>RANK(D34,(D34,H34,L34,P34,T34,X34,AB34,AF34,AJ34,AN34,AR34,AV34))</f>
        <v>4</v>
      </c>
      <c r="E41" s="103"/>
      <c r="F41" s="95">
        <f>RANK(F34,(B34,F34,J34,N34,R34,V34,Z34,AD34,AH34,AL34,AP34,AT34))</f>
        <v>10</v>
      </c>
      <c r="G41" s="96">
        <f>RANK(G34,(C34,G34,K34,O34,S34,W34,AA34,AE34,AI34,AM34,AQ34,AU34))</f>
        <v>11</v>
      </c>
      <c r="H41" s="102">
        <f>RANK(H34,(D34,H34,L34,P34,T34,X34,AB34,AF34,AJ34,AN34,AR34,AV34))</f>
        <v>9</v>
      </c>
      <c r="I41" s="103"/>
      <c r="J41" s="95">
        <f>RANK(J34,(B34,F34,J34,N34,R34,V34,Z34,AD34,AH34,AL34,AP34,AT34))</f>
        <v>4</v>
      </c>
      <c r="K41" s="96">
        <f>RANK(K34,(C34,G34,K34,O34,S34,W34,AA34,AE34,AI34,AM34,AQ34,AU34))</f>
        <v>7</v>
      </c>
      <c r="L41" s="102">
        <f>RANK(L34,(D34,H34,L34,P34,T34,X34,AB34,AF34,AJ34,AN34,AR34,AV34))</f>
        <v>10</v>
      </c>
      <c r="M41" s="103"/>
      <c r="N41" s="95">
        <f>RANK(N34,(B34,F34,J34,N34,R34,V34,Z34,AD34,AH34,AL34,AP34,AT34))</f>
        <v>7</v>
      </c>
      <c r="O41" s="96">
        <f>RANK(O34,(C34,G34,K34,O34,S34,W34,AA34,AE34,AI34,AM34,AQ34,AU34))</f>
        <v>5</v>
      </c>
      <c r="P41" s="102">
        <f>RANK(P34,(D34,H34,L34,P34,T34,X34,AB34,AF34,AJ34,AN34,AR34,AV34))</f>
        <v>2</v>
      </c>
      <c r="Q41" s="103"/>
      <c r="R41" s="95">
        <f>RANK(R34,(B34,F34,J34,N34,R34,V34,Z34,AD34,AH34,AL34,AP34,AT34))</f>
        <v>3</v>
      </c>
      <c r="S41" s="96">
        <f>RANK(S34,(C34,G34,K34,O34,S34,W34,AA34,AE34,AI34,AM34,AQ34,AU34))</f>
        <v>3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2</v>
      </c>
      <c r="X41" s="102">
        <f>RANK(X34,(D34,H34,L34,P34,T34,X34,AB34,AF34,AJ34,AN34,AR34,AV34))</f>
        <v>10</v>
      </c>
      <c r="Y41" s="103"/>
      <c r="Z41" s="95">
        <f>RANK(Z34,(B34,F34,J34,N34,R34,V34,Z34,AD34,AH34,AL34,AP34,AT34))</f>
        <v>8</v>
      </c>
      <c r="AA41" s="96">
        <f>RANK(AA34,(C34,G34,K34,O34,S34,W34,AA34,AE34,AI34,AM34,AQ34,AU34))</f>
        <v>4</v>
      </c>
      <c r="AB41" s="102">
        <f>RANK(AB34,(D34,H34,L34,P34,T34,X34,AB34,AF34,AJ34,AN34,AR34,AV34))</f>
        <v>1</v>
      </c>
      <c r="AC41" s="103"/>
      <c r="AD41" s="95">
        <f>RANK(AD34,(B34,F34,J34,N34,R34,V34,Z34,AD34,AH34,AL34,AP34,AT34))</f>
        <v>5</v>
      </c>
      <c r="AE41" s="96">
        <f>RANK(AE34,(C34,G34,K34,O34,S34,W34,AA34,AE34,AI34,AM34,AQ34,AU34))</f>
        <v>1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6</v>
      </c>
      <c r="AI41" s="96">
        <f>RANK(AI34,(C34,G34,K34,O34,S34,W34,AA34,AE34,AI34,AM34,AQ34,AU34))</f>
        <v>8</v>
      </c>
      <c r="AJ41" s="102">
        <f>RANK(AJ34,(D34,H34,L34,P34,T34,X34,AB34,AF34,AJ34,AN34,AR34,AV34))</f>
        <v>7</v>
      </c>
      <c r="AK41" s="103"/>
      <c r="AL41" s="95">
        <f>RANK(AL34,(B34,F34,J34,N34,R34,V34,Z34,AD34,AH34,AL34,AP34,AT34))</f>
        <v>12</v>
      </c>
      <c r="AM41" s="96">
        <f>RANK(AM34,(C34,G34,K34,O34,S34,W34,AA34,AE34,AI34,AM34,AQ34,AU34))</f>
        <v>9</v>
      </c>
      <c r="AN41" s="102">
        <f>RANK(AN34,(D34,H34,L34,P34,T34,X34,AB34,AF34,AJ34,AN34,AR34,AV34))</f>
        <v>6</v>
      </c>
      <c r="AO41" s="103"/>
      <c r="AP41" s="95">
        <f>RANK(AP34,(B34,F34,J34,N34,R34,V34,Z34,AD34,AH34,AL34,AP34,AT34))</f>
        <v>1</v>
      </c>
      <c r="AQ41" s="96">
        <f>RANK(AQ34,(C34,G34,K34,O34,S34,W34,AA34,AE34,AI34,AM34,AQ34,AU34))</f>
        <v>6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10</v>
      </c>
      <c r="AV41" s="102">
        <f>RANK(AV34,(D34,H34,L34,P34,T34,X34,AB34,AF34,AJ34,AN34,AR34,AV34))</f>
        <v>8</v>
      </c>
      <c r="AW41" s="107"/>
    </row>
    <row r="42" spans="1:49" s="49" customFormat="1" ht="11.25" x14ac:dyDescent="0.2">
      <c r="A42" s="52" t="s">
        <v>214</v>
      </c>
      <c r="B42" s="86">
        <f>T1</f>
        <v>24.369046054229518</v>
      </c>
      <c r="C42" s="87">
        <f>AB1</f>
        <v>263.42805021641044</v>
      </c>
      <c r="D42" s="88"/>
      <c r="E42" s="176" t="s">
        <v>399</v>
      </c>
      <c r="F42" s="177">
        <f>SUM(J23:J33,N3:N33,R3:R33,V3:V33,Z3:Z33,AD3:AD33,AH3:AH23)</f>
        <v>4393.4999999999991</v>
      </c>
      <c r="G42" s="178">
        <f>SUM(K23:K33,O3:O32,S3:S33,W3:W32,AA3:AA33,AE3:AE33,AI3:AI23)</f>
        <v>52811</v>
      </c>
      <c r="H42" s="179"/>
      <c r="I42" s="179"/>
      <c r="J42" s="180">
        <f>IFERROR(F42/(F42+F43),0)</f>
        <v>0.54147887141679263</v>
      </c>
      <c r="K42" s="180">
        <f>IFERROR(G42/(G42+G43),0)</f>
        <v>0.59935537321394117</v>
      </c>
      <c r="L42" s="179"/>
      <c r="M42" s="259" t="s">
        <v>600</v>
      </c>
      <c r="N42" s="257">
        <v>82</v>
      </c>
      <c r="Y42" s="144"/>
      <c r="AK42" s="211" t="s">
        <v>478</v>
      </c>
      <c r="AL42" s="47">
        <f>MAX(B34,F34,J34,N34,R34,V34,Z34,AD34,AH34,AL34,AP34,AT34)</f>
        <v>830.34</v>
      </c>
      <c r="AM42" s="212">
        <f>MAX(C34,G34,K34,O34,S34,W34,AA34,AE34,AI34,AM34,AQ34,AU34)</f>
        <v>11173</v>
      </c>
      <c r="AN42" s="49" t="s">
        <v>346</v>
      </c>
      <c r="AO42" s="210" t="s">
        <v>344</v>
      </c>
      <c r="AP42" s="54">
        <f>R1-'13'!R1</f>
        <v>295.72000000000014</v>
      </c>
      <c r="AQ42" s="78">
        <f>AF1-'13'!AF1</f>
        <v>3342</v>
      </c>
      <c r="AR42" s="49" t="s">
        <v>345</v>
      </c>
      <c r="AS42" s="209" t="s">
        <v>344</v>
      </c>
      <c r="AT42" s="54">
        <f>I1-'13'!I1</f>
        <v>21.389999999999986</v>
      </c>
      <c r="AU42" s="78">
        <f>AN1-'13'!AN1</f>
        <v>-928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22.229835616438351</v>
      </c>
      <c r="C43" s="87">
        <f>AU1/365</f>
        <v>241.40547945205481</v>
      </c>
      <c r="D43" s="88"/>
      <c r="E43" s="172" t="s">
        <v>400</v>
      </c>
      <c r="F43" s="173">
        <f>E1-F42</f>
        <v>3720.3899999999994</v>
      </c>
      <c r="G43" s="174">
        <f>AU1-G42</f>
        <v>35302</v>
      </c>
      <c r="H43" s="175"/>
      <c r="I43" s="175"/>
      <c r="J43" s="181">
        <f>IFERROR(F43/(F42+F43),0)</f>
        <v>0.45852112858320732</v>
      </c>
      <c r="K43" s="181">
        <f>IFERROR(G43/(G42+G43),0)</f>
        <v>0.40064462678605883</v>
      </c>
      <c r="L43" s="175"/>
      <c r="M43" s="65" t="s">
        <v>601</v>
      </c>
      <c r="N43" s="258">
        <v>4</v>
      </c>
      <c r="Y43" s="67"/>
      <c r="AK43" s="213" t="s">
        <v>481</v>
      </c>
      <c r="AL43" s="188">
        <f>IF($B$1&lt;&gt;0,$AV$35/$B1,0)</f>
        <v>3.9718373534970763E-2</v>
      </c>
      <c r="AO43" s="209" t="s">
        <v>344</v>
      </c>
      <c r="AP43" s="54">
        <f>AV35-'13'!AV35</f>
        <v>47.600000000000023</v>
      </c>
      <c r="AQ43" s="188">
        <f>AL43-'13'!AL43</f>
        <v>1.0495997781785546E-3</v>
      </c>
      <c r="AR43" s="49" t="s">
        <v>204</v>
      </c>
      <c r="AS43" s="209" t="s">
        <v>344</v>
      </c>
      <c r="AT43" s="54">
        <f>B1-'13'!B1</f>
        <v>1001.6199999999972</v>
      </c>
      <c r="AU43" s="78">
        <f>AU1-'13'!AU1</f>
        <v>1061</v>
      </c>
      <c r="AV43" s="49" t="s">
        <v>347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459" priority="65" operator="equal">
      <formula>$R$1</formula>
    </cfRule>
    <cfRule type="cellIs" dxfId="458" priority="66" operator="equal">
      <formula>$M$1</formula>
    </cfRule>
  </conditionalFormatting>
  <conditionalFormatting sqref="C34 G34 K34 O34 S34 W34 AA34 AE34 AI34 AM34 AQ34 AU34">
    <cfRule type="cellIs" dxfId="457" priority="64" operator="equal">
      <formula>$AF$1</formula>
    </cfRule>
    <cfRule type="cellIs" dxfId="456" priority="6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455" priority="61" operator="lessThan">
      <formula>0</formula>
    </cfRule>
    <cfRule type="cellIs" dxfId="454" priority="62" operator="greaterThanOrEqual">
      <formula>0</formula>
    </cfRule>
  </conditionalFormatting>
  <conditionalFormatting sqref="C38 AU42:AU43 AQ42 G38 K38 O38 S38 W38 AA38 AE38 AI38 AM38 AQ38 AU38">
    <cfRule type="cellIs" dxfId="453" priority="59" operator="lessThan">
      <formula>0</formula>
    </cfRule>
    <cfRule type="cellIs" dxfId="452" priority="60" operator="greaterThanOrEqual">
      <formula>0</formula>
    </cfRule>
  </conditionalFormatting>
  <conditionalFormatting sqref="D38">
    <cfRule type="cellIs" dxfId="451" priority="5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450" priority="5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449" priority="50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448" priority="47" stopIfTrue="1" operator="between">
      <formula>0</formula>
      <formula>0.0416550925925926</formula>
    </cfRule>
    <cfRule type="cellIs" dxfId="447" priority="48" stopIfTrue="1" operator="between">
      <formula>0.0416666666666667</formula>
      <formula>0.0833217592592593</formula>
    </cfRule>
    <cfRule type="cellIs" dxfId="446" priority="4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445" priority="35" operator="equal">
      <formula>MAX($D$36,$H$36,$L$36,$P$36,$T$36,$X$36,$AB$36,$AF$36,$AJ$36,$AN$36,$AR$36,$AV$36)</formula>
    </cfRule>
  </conditionalFormatting>
  <conditionalFormatting sqref="AP43">
    <cfRule type="cellIs" dxfId="444" priority="33" operator="lessThan">
      <formula>0</formula>
    </cfRule>
    <cfRule type="cellIs" dxfId="443" priority="34" operator="greaterThanOrEqual">
      <formula>0</formula>
    </cfRule>
  </conditionalFormatting>
  <conditionalFormatting sqref="B3:B33 F3:F33 J3:J33 N3:N33 R3:R33 V3:V33 Z3:Z33 AT3:AT33 AH3:AH33 AL3:AL33 AP3:AP33 AD3:AD33">
    <cfRule type="cellIs" dxfId="442" priority="56" stopIfTrue="1" operator="lessThan">
      <formula>50</formula>
    </cfRule>
    <cfRule type="cellIs" dxfId="441" priority="57" stopIfTrue="1" operator="greaterThanOrEqual">
      <formula>100</formula>
    </cfRule>
    <cfRule type="cellIs" dxfId="440" priority="58" operator="greaterThanOrEqual">
      <formula>50</formula>
    </cfRule>
  </conditionalFormatting>
  <conditionalFormatting sqref="C3:C33 G3:G33 K3:K33 O3:O33 S3:S33 W3:W33 AA3:AA33 AU3:AU33 AI3:AI33 AM3:AM33 AQ3:AQ33 AE3:AE33">
    <cfRule type="cellIs" dxfId="439" priority="53" stopIfTrue="1" operator="between">
      <formula>0</formula>
      <formula>749.99</formula>
    </cfRule>
    <cfRule type="cellIs" dxfId="438" priority="54" stopIfTrue="1" operator="greaterThanOrEqual">
      <formula>1500</formula>
    </cfRule>
    <cfRule type="cellIs" dxfId="437" priority="55" operator="greaterThanOrEqual">
      <formula>750</formula>
    </cfRule>
  </conditionalFormatting>
  <conditionalFormatting sqref="AQ43">
    <cfRule type="cellIs" dxfId="436" priority="31" stopIfTrue="1" operator="lessThan">
      <formula>0</formula>
    </cfRule>
    <cfRule type="cellIs" dxfId="435" priority="32" operator="greaterThanOrEqual">
      <formula>0</formula>
    </cfRule>
  </conditionalFormatting>
  <conditionalFormatting sqref="AL42">
    <cfRule type="cellIs" dxfId="434" priority="26" stopIfTrue="1" operator="lessThan">
      <formula>1000</formula>
    </cfRule>
    <cfRule type="cellIs" dxfId="433" priority="27" stopIfTrue="1" operator="lessThan">
      <formula>1100</formula>
    </cfRule>
    <cfRule type="cellIs" dxfId="432" priority="28" stopIfTrue="1" operator="lessThan">
      <formula>9999</formula>
    </cfRule>
  </conditionalFormatting>
  <conditionalFormatting sqref="AM42">
    <cfRule type="cellIs" dxfId="431" priority="23" stopIfTrue="1" operator="lessThan">
      <formula>10000</formula>
    </cfRule>
    <cfRule type="cellIs" dxfId="430" priority="24" stopIfTrue="1" operator="lessThan">
      <formula>13000</formula>
    </cfRule>
    <cfRule type="cellIs" dxfId="429" priority="25" stopIfTrue="1" operator="lessThan">
      <formula>99999</formula>
    </cfRule>
  </conditionalFormatting>
  <conditionalFormatting sqref="AL43">
    <cfRule type="cellIs" dxfId="428" priority="20" stopIfTrue="1" operator="lessThan">
      <formula>0.05</formula>
    </cfRule>
    <cfRule type="cellIs" dxfId="427" priority="21" stopIfTrue="1" operator="lessThan">
      <formula>0.1</formula>
    </cfRule>
    <cfRule type="cellIs" dxfId="426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58">
        <f>AT35+AV35</f>
        <v>7883.7899999999991</v>
      </c>
      <c r="C1" s="358"/>
      <c r="D1" s="83" t="s">
        <v>238</v>
      </c>
      <c r="E1" s="359">
        <f>AT35</f>
        <v>7802.9899999999989</v>
      </c>
      <c r="F1" s="359"/>
      <c r="G1" s="360" t="s">
        <v>152</v>
      </c>
      <c r="H1" s="360"/>
      <c r="I1" s="356">
        <f>MAX(B36,F36,J36,N36,R36,V36,Z36,AD36,AH36,AL36,AP36,AT36)</f>
        <v>130</v>
      </c>
      <c r="J1" s="356"/>
      <c r="K1" s="361" t="s">
        <v>159</v>
      </c>
      <c r="L1" s="361"/>
      <c r="M1" s="362">
        <f>MAX(B34,F34,J34,N34,R34,V34,Z34,AD34,AH34,AL34,AP34,AT34)</f>
        <v>1042.1100000000001</v>
      </c>
      <c r="N1" s="362"/>
      <c r="O1" s="355" t="s">
        <v>190</v>
      </c>
      <c r="P1" s="355"/>
      <c r="Q1" s="355"/>
      <c r="R1" s="149">
        <f>MIN(B34,F34,J34,N34,R34,V34,Z34,AD34,AH34,AL34,AP34,AT34)</f>
        <v>360.97</v>
      </c>
      <c r="S1" s="84" t="s">
        <v>207</v>
      </c>
      <c r="T1" s="368">
        <f>IFERROR(AVERAGE(B37,F37,J37,N37,R37,V37,Z37,AD37,AH37,AL37,AP37,AT37),0)</f>
        <v>23.968190715034449</v>
      </c>
      <c r="U1" s="368"/>
      <c r="V1" s="380" t="s">
        <v>735</v>
      </c>
      <c r="W1" s="380"/>
      <c r="X1" s="380"/>
      <c r="Y1" s="380"/>
      <c r="Z1" s="380"/>
      <c r="AA1" s="85" t="s">
        <v>207</v>
      </c>
      <c r="AB1" s="357">
        <f>IFERROR(AVERAGE(C37,G37,K37,O37,S37,W37,AA37,AE37,AI37,AM37,AQ37,AU37),0)</f>
        <v>194.46599282316905</v>
      </c>
      <c r="AC1" s="357"/>
      <c r="AD1" s="367" t="s">
        <v>190</v>
      </c>
      <c r="AE1" s="367"/>
      <c r="AF1" s="370">
        <f>MIN(C34,G34,K34,O34,S34,W34,AA34,AE34,AI34,AM34,AQ34,AU34)</f>
        <v>2662</v>
      </c>
      <c r="AG1" s="370"/>
      <c r="AH1" s="371" t="s">
        <v>159</v>
      </c>
      <c r="AI1" s="371"/>
      <c r="AJ1" s="372">
        <f>MAX(C34,G34,K34,O34,S34,W34,AA34,AE34,AI34,AM34,AQ34,AU34)</f>
        <v>8968</v>
      </c>
      <c r="AK1" s="372"/>
      <c r="AL1" s="374" t="s">
        <v>153</v>
      </c>
      <c r="AM1" s="374"/>
      <c r="AN1" s="373">
        <f>MAX(C36,G36,K36,O36,S36,W36,AA36,AE36,AI36,AM36,AQ36,AU36)</f>
        <v>1535</v>
      </c>
      <c r="AO1" s="373"/>
      <c r="AP1" s="363" t="s">
        <v>361</v>
      </c>
      <c r="AQ1" s="363"/>
      <c r="AR1" s="364">
        <f>MAX(D36,H36,L36,P36,T36,X36,AB36,AF36,AJ36,AN36,AR36,AV36)</f>
        <v>4.4444444444444446E-2</v>
      </c>
      <c r="AS1" s="364"/>
      <c r="AT1" s="81" t="s">
        <v>2</v>
      </c>
      <c r="AU1" s="365">
        <f>AU35</f>
        <v>62750</v>
      </c>
      <c r="AV1" s="366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>
        <v>11.39</v>
      </c>
      <c r="C3" s="55">
        <v>67</v>
      </c>
      <c r="D3" s="150"/>
      <c r="E3" s="75">
        <v>1</v>
      </c>
      <c r="F3" s="54">
        <v>15.299999999999999</v>
      </c>
      <c r="G3" s="55">
        <v>78</v>
      </c>
      <c r="H3" s="150"/>
      <c r="I3" s="75">
        <v>1</v>
      </c>
      <c r="J3" s="54">
        <v>17.5</v>
      </c>
      <c r="K3" s="55">
        <v>30</v>
      </c>
      <c r="L3" s="150"/>
      <c r="M3" s="75">
        <v>1</v>
      </c>
      <c r="N3" s="54">
        <v>13</v>
      </c>
      <c r="O3" s="55">
        <v>10</v>
      </c>
      <c r="P3" s="150"/>
      <c r="Q3" s="75">
        <v>1</v>
      </c>
      <c r="R3" s="54">
        <v>26</v>
      </c>
      <c r="S3" s="55">
        <v>60</v>
      </c>
      <c r="T3" s="150"/>
      <c r="U3" s="75">
        <v>1</v>
      </c>
      <c r="V3" s="54"/>
      <c r="W3" s="55"/>
      <c r="X3" s="150"/>
      <c r="Y3" s="75">
        <v>1</v>
      </c>
      <c r="Z3" s="54">
        <v>13</v>
      </c>
      <c r="AA3" s="55">
        <v>40</v>
      </c>
      <c r="AB3" s="150"/>
      <c r="AC3" s="75">
        <v>1</v>
      </c>
      <c r="AD3" s="54">
        <v>28.4</v>
      </c>
      <c r="AE3" s="55">
        <v>400</v>
      </c>
      <c r="AF3" s="150"/>
      <c r="AG3" s="75">
        <v>1</v>
      </c>
      <c r="AH3" s="54">
        <v>14</v>
      </c>
      <c r="AI3" s="55">
        <v>40</v>
      </c>
      <c r="AJ3" s="150"/>
      <c r="AK3" s="75">
        <v>1</v>
      </c>
      <c r="AL3" s="54">
        <v>17</v>
      </c>
      <c r="AM3" s="55">
        <v>30</v>
      </c>
      <c r="AN3" s="150"/>
      <c r="AO3" s="75">
        <v>1</v>
      </c>
      <c r="AP3" s="54">
        <v>62.44</v>
      </c>
      <c r="AQ3" s="55">
        <v>981</v>
      </c>
      <c r="AR3" s="150"/>
      <c r="AS3" s="75">
        <v>1</v>
      </c>
      <c r="AT3" s="54">
        <v>11</v>
      </c>
      <c r="AU3" s="55">
        <v>60</v>
      </c>
      <c r="AV3" s="150"/>
      <c r="AW3" s="67"/>
    </row>
    <row r="4" spans="1:49" s="49" customFormat="1" ht="11.25" x14ac:dyDescent="0.2">
      <c r="A4" s="73">
        <f t="shared" ref="A4:A33" si="0">A3+1</f>
        <v>2</v>
      </c>
      <c r="B4" s="54">
        <v>10.199999999999999</v>
      </c>
      <c r="C4" s="55">
        <v>11</v>
      </c>
      <c r="D4" s="150"/>
      <c r="E4" s="75">
        <f t="shared" ref="E4:E30" si="1">E3+1</f>
        <v>2</v>
      </c>
      <c r="F4" s="54">
        <v>7.7</v>
      </c>
      <c r="G4" s="55">
        <v>35</v>
      </c>
      <c r="H4" s="150"/>
      <c r="I4" s="75">
        <f t="shared" ref="I4:I33" si="2">I3+1</f>
        <v>2</v>
      </c>
      <c r="J4" s="54">
        <v>21.86</v>
      </c>
      <c r="K4" s="55">
        <v>175</v>
      </c>
      <c r="L4" s="150"/>
      <c r="M4" s="75">
        <f t="shared" ref="M4:M32" si="3">M3+1</f>
        <v>2</v>
      </c>
      <c r="N4" s="54"/>
      <c r="O4" s="55"/>
      <c r="P4" s="150"/>
      <c r="Q4" s="75">
        <f t="shared" ref="Q4:Q33" si="4">Q3+1</f>
        <v>2</v>
      </c>
      <c r="R4" s="54">
        <v>65.599999999999994</v>
      </c>
      <c r="S4" s="55">
        <v>130</v>
      </c>
      <c r="T4" s="150"/>
      <c r="U4" s="75">
        <f t="shared" ref="U4:U32" si="5">U3+1</f>
        <v>2</v>
      </c>
      <c r="V4" s="54">
        <v>25.66</v>
      </c>
      <c r="W4" s="55">
        <v>25</v>
      </c>
      <c r="X4" s="150"/>
      <c r="Y4" s="75">
        <f t="shared" ref="Y4:Y33" si="6">Y3+1</f>
        <v>2</v>
      </c>
      <c r="Z4" s="54">
        <v>14</v>
      </c>
      <c r="AA4" s="55">
        <v>40</v>
      </c>
      <c r="AB4" s="150"/>
      <c r="AC4" s="75">
        <f t="shared" ref="AC4:AC33" si="7">AC3+1</f>
        <v>2</v>
      </c>
      <c r="AD4" s="54">
        <v>130</v>
      </c>
      <c r="AE4" s="55">
        <v>260</v>
      </c>
      <c r="AF4" s="150"/>
      <c r="AG4" s="75">
        <f>AG3+1</f>
        <v>2</v>
      </c>
      <c r="AH4" s="54">
        <v>13</v>
      </c>
      <c r="AI4" s="55">
        <v>105</v>
      </c>
      <c r="AJ4" s="150"/>
      <c r="AK4" s="75">
        <f>AK3+1</f>
        <v>2</v>
      </c>
      <c r="AL4" s="54">
        <v>12.55</v>
      </c>
      <c r="AM4" s="55">
        <v>115</v>
      </c>
      <c r="AN4" s="150"/>
      <c r="AO4" s="75">
        <f>AO3+1</f>
        <v>2</v>
      </c>
      <c r="AP4" s="54">
        <v>24.66</v>
      </c>
      <c r="AQ4" s="55">
        <v>25</v>
      </c>
      <c r="AR4" s="150"/>
      <c r="AS4" s="75">
        <f>AS3+1</f>
        <v>2</v>
      </c>
      <c r="AT4" s="54">
        <v>24.89</v>
      </c>
      <c r="AU4" s="55">
        <v>25</v>
      </c>
      <c r="AV4" s="150"/>
      <c r="AW4" s="67"/>
    </row>
    <row r="5" spans="1:49" s="49" customFormat="1" ht="11.25" x14ac:dyDescent="0.2">
      <c r="A5" s="73">
        <f t="shared" si="0"/>
        <v>3</v>
      </c>
      <c r="B5" s="54">
        <v>24.5</v>
      </c>
      <c r="C5" s="55">
        <v>245</v>
      </c>
      <c r="D5" s="150"/>
      <c r="E5" s="75">
        <f t="shared" si="1"/>
        <v>3</v>
      </c>
      <c r="F5" s="54">
        <v>7.5</v>
      </c>
      <c r="G5" s="55">
        <v>30</v>
      </c>
      <c r="H5" s="150"/>
      <c r="I5" s="75">
        <f t="shared" si="2"/>
        <v>3</v>
      </c>
      <c r="J5" s="54">
        <v>12.5</v>
      </c>
      <c r="K5" s="55">
        <v>54</v>
      </c>
      <c r="L5" s="150"/>
      <c r="M5" s="75">
        <f t="shared" si="3"/>
        <v>3</v>
      </c>
      <c r="N5" s="54">
        <v>43.2</v>
      </c>
      <c r="O5" s="55">
        <v>510</v>
      </c>
      <c r="P5" s="150"/>
      <c r="Q5" s="75">
        <f t="shared" si="4"/>
        <v>3</v>
      </c>
      <c r="R5" s="54">
        <v>20.5</v>
      </c>
      <c r="S5" s="55">
        <v>50</v>
      </c>
      <c r="T5" s="150">
        <v>2.0833333333333332E-2</v>
      </c>
      <c r="U5" s="75">
        <f t="shared" si="5"/>
        <v>3</v>
      </c>
      <c r="V5" s="54">
        <v>17.7</v>
      </c>
      <c r="W5" s="55">
        <v>354</v>
      </c>
      <c r="X5" s="150"/>
      <c r="Y5" s="75">
        <f t="shared" si="6"/>
        <v>3</v>
      </c>
      <c r="Z5" s="54">
        <v>23.259999999999998</v>
      </c>
      <c r="AA5" s="55">
        <v>72</v>
      </c>
      <c r="AB5" s="150"/>
      <c r="AC5" s="75">
        <f t="shared" si="7"/>
        <v>3</v>
      </c>
      <c r="AD5" s="54">
        <v>10</v>
      </c>
      <c r="AE5" s="55">
        <v>40</v>
      </c>
      <c r="AF5" s="150"/>
      <c r="AG5" s="75">
        <f t="shared" ref="AG5:AG32" si="8">AG4+1</f>
        <v>3</v>
      </c>
      <c r="AH5" s="54">
        <v>15</v>
      </c>
      <c r="AI5" s="55">
        <v>60</v>
      </c>
      <c r="AJ5" s="150"/>
      <c r="AK5" s="75">
        <f t="shared" ref="AK5:AK33" si="9">AK4+1</f>
        <v>3</v>
      </c>
      <c r="AL5" s="54">
        <v>33.46</v>
      </c>
      <c r="AM5" s="55">
        <v>606</v>
      </c>
      <c r="AN5" s="150"/>
      <c r="AO5" s="75">
        <f t="shared" ref="AO5:AO32" si="10">AO4+1</f>
        <v>3</v>
      </c>
      <c r="AP5" s="54"/>
      <c r="AQ5" s="55"/>
      <c r="AR5" s="150"/>
      <c r="AS5" s="75">
        <f t="shared" ref="AS5:AS33" si="11">AS4+1</f>
        <v>3</v>
      </c>
      <c r="AT5" s="54"/>
      <c r="AU5" s="55"/>
      <c r="AV5" s="150"/>
      <c r="AW5" s="67"/>
    </row>
    <row r="6" spans="1:49" s="49" customFormat="1" ht="11.25" x14ac:dyDescent="0.2">
      <c r="A6" s="73">
        <f t="shared" si="0"/>
        <v>4</v>
      </c>
      <c r="B6" s="54">
        <v>16.100000000000001</v>
      </c>
      <c r="C6" s="55">
        <v>80</v>
      </c>
      <c r="D6" s="150"/>
      <c r="E6" s="75">
        <f t="shared" si="1"/>
        <v>4</v>
      </c>
      <c r="F6" s="54">
        <v>10</v>
      </c>
      <c r="G6" s="55">
        <v>3</v>
      </c>
      <c r="H6" s="150"/>
      <c r="I6" s="75">
        <f t="shared" si="2"/>
        <v>4</v>
      </c>
      <c r="J6" s="54">
        <v>25.299999999999997</v>
      </c>
      <c r="K6" s="55">
        <v>220</v>
      </c>
      <c r="L6" s="150"/>
      <c r="M6" s="75">
        <f t="shared" si="3"/>
        <v>4</v>
      </c>
      <c r="N6" s="54">
        <v>20.2</v>
      </c>
      <c r="O6" s="55">
        <v>45</v>
      </c>
      <c r="P6" s="150">
        <v>4.4444444444444446E-2</v>
      </c>
      <c r="Q6" s="75">
        <f t="shared" si="4"/>
        <v>4</v>
      </c>
      <c r="R6" s="54">
        <v>14.4</v>
      </c>
      <c r="S6" s="55">
        <v>50</v>
      </c>
      <c r="T6" s="150"/>
      <c r="U6" s="75">
        <f t="shared" si="5"/>
        <v>4</v>
      </c>
      <c r="V6" s="54">
        <v>48.3</v>
      </c>
      <c r="W6" s="55">
        <v>625</v>
      </c>
      <c r="X6" s="150"/>
      <c r="Y6" s="75">
        <f t="shared" si="6"/>
        <v>4</v>
      </c>
      <c r="Z6" s="54">
        <v>13.84</v>
      </c>
      <c r="AA6" s="55">
        <v>110</v>
      </c>
      <c r="AB6" s="150"/>
      <c r="AC6" s="75">
        <f t="shared" si="7"/>
        <v>4</v>
      </c>
      <c r="AD6" s="54">
        <v>10.8</v>
      </c>
      <c r="AE6" s="55">
        <v>20</v>
      </c>
      <c r="AF6" s="150"/>
      <c r="AG6" s="75">
        <f t="shared" si="8"/>
        <v>4</v>
      </c>
      <c r="AH6" s="54">
        <v>10.6</v>
      </c>
      <c r="AI6" s="55">
        <v>350</v>
      </c>
      <c r="AJ6" s="150"/>
      <c r="AK6" s="75">
        <f t="shared" si="9"/>
        <v>4</v>
      </c>
      <c r="AL6" s="54">
        <v>10.6</v>
      </c>
      <c r="AM6" s="55">
        <v>20</v>
      </c>
      <c r="AN6" s="150"/>
      <c r="AO6" s="75">
        <f t="shared" si="10"/>
        <v>4</v>
      </c>
      <c r="AP6" s="54">
        <v>11</v>
      </c>
      <c r="AQ6" s="55">
        <v>90</v>
      </c>
      <c r="AR6" s="150"/>
      <c r="AS6" s="75">
        <f t="shared" si="11"/>
        <v>4</v>
      </c>
      <c r="AT6" s="54">
        <v>11.4</v>
      </c>
      <c r="AU6" s="55">
        <v>25</v>
      </c>
      <c r="AV6" s="150"/>
      <c r="AW6" s="67"/>
    </row>
    <row r="7" spans="1:49" s="49" customFormat="1" ht="11.25" x14ac:dyDescent="0.2">
      <c r="A7" s="73">
        <f t="shared" si="0"/>
        <v>5</v>
      </c>
      <c r="B7" s="54">
        <v>10</v>
      </c>
      <c r="C7" s="55">
        <v>70</v>
      </c>
      <c r="D7" s="150"/>
      <c r="E7" s="75">
        <f t="shared" si="1"/>
        <v>5</v>
      </c>
      <c r="F7" s="54">
        <v>6</v>
      </c>
      <c r="G7" s="55">
        <v>30</v>
      </c>
      <c r="H7" s="150"/>
      <c r="I7" s="75">
        <f t="shared" si="2"/>
        <v>5</v>
      </c>
      <c r="J7" s="54"/>
      <c r="K7" s="55"/>
      <c r="L7" s="150"/>
      <c r="M7" s="75">
        <f t="shared" si="3"/>
        <v>5</v>
      </c>
      <c r="N7" s="54">
        <v>50.6</v>
      </c>
      <c r="O7" s="55">
        <v>420</v>
      </c>
      <c r="P7" s="150">
        <v>2.4305555555555556E-2</v>
      </c>
      <c r="Q7" s="75">
        <f t="shared" si="4"/>
        <v>5</v>
      </c>
      <c r="R7" s="54">
        <v>25.32</v>
      </c>
      <c r="S7" s="55">
        <v>26</v>
      </c>
      <c r="T7" s="150"/>
      <c r="U7" s="75">
        <f t="shared" si="5"/>
        <v>5</v>
      </c>
      <c r="V7" s="54">
        <v>13.6</v>
      </c>
      <c r="W7" s="55">
        <v>152</v>
      </c>
      <c r="X7" s="150"/>
      <c r="Y7" s="75">
        <f t="shared" si="6"/>
        <v>5</v>
      </c>
      <c r="Z7" s="54">
        <v>17.149999999999999</v>
      </c>
      <c r="AA7" s="55">
        <v>120</v>
      </c>
      <c r="AB7" s="150"/>
      <c r="AC7" s="75">
        <f t="shared" si="7"/>
        <v>5</v>
      </c>
      <c r="AD7" s="54">
        <v>11.3</v>
      </c>
      <c r="AE7" s="55">
        <v>10</v>
      </c>
      <c r="AF7" s="150"/>
      <c r="AG7" s="75">
        <f t="shared" si="8"/>
        <v>5</v>
      </c>
      <c r="AH7" s="54"/>
      <c r="AI7" s="55"/>
      <c r="AJ7" s="150"/>
      <c r="AK7" s="75">
        <f t="shared" si="9"/>
        <v>5</v>
      </c>
      <c r="AL7" s="54">
        <v>10</v>
      </c>
      <c r="AM7" s="55">
        <v>30</v>
      </c>
      <c r="AN7" s="150"/>
      <c r="AO7" s="75">
        <f t="shared" si="10"/>
        <v>5</v>
      </c>
      <c r="AP7" s="54">
        <v>15.1</v>
      </c>
      <c r="AQ7" s="55">
        <v>50</v>
      </c>
      <c r="AR7" s="150"/>
      <c r="AS7" s="75">
        <f t="shared" si="11"/>
        <v>5</v>
      </c>
      <c r="AT7" s="54">
        <v>23.259999999999998</v>
      </c>
      <c r="AU7" s="55">
        <v>117</v>
      </c>
      <c r="AV7" s="150"/>
      <c r="AW7" s="67"/>
    </row>
    <row r="8" spans="1:49" s="49" customFormat="1" ht="11.25" x14ac:dyDescent="0.2">
      <c r="A8" s="73">
        <f t="shared" si="0"/>
        <v>6</v>
      </c>
      <c r="B8" s="54">
        <v>30.9</v>
      </c>
      <c r="C8" s="55">
        <v>110</v>
      </c>
      <c r="D8" s="150"/>
      <c r="E8" s="75">
        <f t="shared" si="1"/>
        <v>6</v>
      </c>
      <c r="F8" s="54">
        <v>10.6</v>
      </c>
      <c r="G8" s="55">
        <v>185</v>
      </c>
      <c r="H8" s="150"/>
      <c r="I8" s="75">
        <f t="shared" si="2"/>
        <v>6</v>
      </c>
      <c r="J8" s="54"/>
      <c r="K8" s="55"/>
      <c r="L8" s="150"/>
      <c r="M8" s="75">
        <f t="shared" si="3"/>
        <v>6</v>
      </c>
      <c r="N8" s="54">
        <v>54.2</v>
      </c>
      <c r="O8" s="55">
        <v>452</v>
      </c>
      <c r="P8" s="150"/>
      <c r="Q8" s="75">
        <f t="shared" si="4"/>
        <v>6</v>
      </c>
      <c r="R8" s="54">
        <v>12.8</v>
      </c>
      <c r="S8" s="55">
        <v>45</v>
      </c>
      <c r="T8" s="150"/>
      <c r="U8" s="75">
        <f t="shared" si="5"/>
        <v>6</v>
      </c>
      <c r="V8" s="54">
        <v>49.61</v>
      </c>
      <c r="W8" s="55">
        <v>475</v>
      </c>
      <c r="X8" s="150"/>
      <c r="Y8" s="75">
        <f t="shared" si="6"/>
        <v>6</v>
      </c>
      <c r="Z8" s="54">
        <v>15.899999999999999</v>
      </c>
      <c r="AA8" s="55">
        <v>70</v>
      </c>
      <c r="AB8" s="150"/>
      <c r="AC8" s="75">
        <f t="shared" si="7"/>
        <v>6</v>
      </c>
      <c r="AD8" s="54">
        <v>24.66</v>
      </c>
      <c r="AE8" s="55">
        <v>25</v>
      </c>
      <c r="AF8" s="150"/>
      <c r="AG8" s="75">
        <f t="shared" si="8"/>
        <v>6</v>
      </c>
      <c r="AH8" s="54">
        <v>35</v>
      </c>
      <c r="AI8" s="55">
        <v>520</v>
      </c>
      <c r="AJ8" s="150"/>
      <c r="AK8" s="75">
        <f t="shared" si="9"/>
        <v>6</v>
      </c>
      <c r="AL8" s="54">
        <v>13.66</v>
      </c>
      <c r="AM8" s="55">
        <v>100</v>
      </c>
      <c r="AN8" s="150"/>
      <c r="AO8" s="75">
        <f t="shared" si="10"/>
        <v>6</v>
      </c>
      <c r="AP8" s="54">
        <v>11.5</v>
      </c>
      <c r="AQ8" s="55">
        <v>200</v>
      </c>
      <c r="AR8" s="150"/>
      <c r="AS8" s="75">
        <f t="shared" si="11"/>
        <v>6</v>
      </c>
      <c r="AT8" s="54">
        <v>65.899999999999991</v>
      </c>
      <c r="AU8" s="55">
        <v>445</v>
      </c>
      <c r="AV8" s="150"/>
      <c r="AW8" s="67"/>
    </row>
    <row r="9" spans="1:49" s="49" customFormat="1" ht="11.25" x14ac:dyDescent="0.2">
      <c r="A9" s="73">
        <f t="shared" si="0"/>
        <v>7</v>
      </c>
      <c r="B9" s="54">
        <v>17.3</v>
      </c>
      <c r="C9" s="55">
        <v>60</v>
      </c>
      <c r="D9" s="150"/>
      <c r="E9" s="75">
        <f t="shared" si="1"/>
        <v>7</v>
      </c>
      <c r="F9" s="54">
        <v>26.4</v>
      </c>
      <c r="G9" s="55">
        <v>348</v>
      </c>
      <c r="H9" s="150"/>
      <c r="I9" s="75">
        <f t="shared" si="2"/>
        <v>7</v>
      </c>
      <c r="J9" s="54"/>
      <c r="K9" s="55"/>
      <c r="L9" s="150"/>
      <c r="M9" s="75">
        <f t="shared" si="3"/>
        <v>7</v>
      </c>
      <c r="N9" s="54">
        <v>10</v>
      </c>
      <c r="O9" s="55">
        <v>20</v>
      </c>
      <c r="P9" s="150"/>
      <c r="Q9" s="75">
        <f t="shared" si="4"/>
        <v>7</v>
      </c>
      <c r="R9" s="54">
        <v>16.600000000000001</v>
      </c>
      <c r="S9" s="55">
        <v>165</v>
      </c>
      <c r="T9" s="150"/>
      <c r="U9" s="75">
        <f t="shared" si="5"/>
        <v>7</v>
      </c>
      <c r="V9" s="54">
        <v>77.029999999999987</v>
      </c>
      <c r="W9" s="55">
        <v>857</v>
      </c>
      <c r="X9" s="150"/>
      <c r="Y9" s="75">
        <f t="shared" si="6"/>
        <v>7</v>
      </c>
      <c r="Z9" s="54">
        <v>13.02</v>
      </c>
      <c r="AA9" s="55">
        <v>52</v>
      </c>
      <c r="AB9" s="150"/>
      <c r="AC9" s="75">
        <f t="shared" si="7"/>
        <v>7</v>
      </c>
      <c r="AD9" s="54">
        <v>24.650000000000002</v>
      </c>
      <c r="AE9" s="55">
        <v>150</v>
      </c>
      <c r="AF9" s="150"/>
      <c r="AG9" s="75">
        <f t="shared" si="8"/>
        <v>7</v>
      </c>
      <c r="AH9" s="54"/>
      <c r="AI9" s="55"/>
      <c r="AJ9" s="150"/>
      <c r="AK9" s="75">
        <f t="shared" si="9"/>
        <v>7</v>
      </c>
      <c r="AL9" s="54">
        <v>10</v>
      </c>
      <c r="AM9" s="55">
        <v>20</v>
      </c>
      <c r="AN9" s="150"/>
      <c r="AO9" s="75">
        <f t="shared" si="10"/>
        <v>7</v>
      </c>
      <c r="AP9" s="54">
        <v>37.89</v>
      </c>
      <c r="AQ9" s="55">
        <v>355</v>
      </c>
      <c r="AR9" s="150"/>
      <c r="AS9" s="75">
        <f t="shared" si="11"/>
        <v>7</v>
      </c>
      <c r="AT9" s="54">
        <v>10</v>
      </c>
      <c r="AU9" s="55">
        <v>30</v>
      </c>
      <c r="AV9" s="150"/>
      <c r="AW9" s="67"/>
    </row>
    <row r="10" spans="1:49" s="49" customFormat="1" ht="11.25" x14ac:dyDescent="0.2">
      <c r="A10" s="73">
        <f t="shared" si="0"/>
        <v>8</v>
      </c>
      <c r="B10" s="54"/>
      <c r="C10" s="55"/>
      <c r="D10" s="150"/>
      <c r="E10" s="75">
        <f t="shared" si="1"/>
        <v>8</v>
      </c>
      <c r="F10" s="54">
        <v>24.6</v>
      </c>
      <c r="G10" s="55">
        <v>260</v>
      </c>
      <c r="H10" s="150"/>
      <c r="I10" s="75">
        <f t="shared" si="2"/>
        <v>8</v>
      </c>
      <c r="J10" s="54"/>
      <c r="K10" s="55"/>
      <c r="L10" s="150"/>
      <c r="M10" s="75">
        <f t="shared" si="3"/>
        <v>8</v>
      </c>
      <c r="N10" s="54">
        <v>20.66</v>
      </c>
      <c r="O10" s="55">
        <v>163</v>
      </c>
      <c r="P10" s="150"/>
      <c r="Q10" s="75">
        <f t="shared" si="4"/>
        <v>8</v>
      </c>
      <c r="R10" s="54">
        <v>18.68</v>
      </c>
      <c r="S10" s="55">
        <v>102</v>
      </c>
      <c r="T10" s="150"/>
      <c r="U10" s="75">
        <f t="shared" si="5"/>
        <v>8</v>
      </c>
      <c r="V10" s="54">
        <v>10.1</v>
      </c>
      <c r="W10" s="55">
        <v>25</v>
      </c>
      <c r="X10" s="150"/>
      <c r="Y10" s="75">
        <f t="shared" si="6"/>
        <v>8</v>
      </c>
      <c r="Z10" s="54">
        <v>10.3</v>
      </c>
      <c r="AA10" s="55">
        <v>100</v>
      </c>
      <c r="AB10" s="150"/>
      <c r="AC10" s="75">
        <f t="shared" si="7"/>
        <v>8</v>
      </c>
      <c r="AD10" s="54">
        <v>58.26</v>
      </c>
      <c r="AE10" s="55">
        <v>418</v>
      </c>
      <c r="AF10" s="150"/>
      <c r="AG10" s="75">
        <f t="shared" si="8"/>
        <v>8</v>
      </c>
      <c r="AH10" s="54">
        <v>10</v>
      </c>
      <c r="AI10" s="49">
        <v>20</v>
      </c>
      <c r="AJ10" s="150"/>
      <c r="AK10" s="75">
        <f t="shared" si="9"/>
        <v>8</v>
      </c>
      <c r="AL10" s="54">
        <v>10</v>
      </c>
      <c r="AM10" s="55">
        <v>30</v>
      </c>
      <c r="AN10" s="150"/>
      <c r="AO10" s="75">
        <f t="shared" si="10"/>
        <v>8</v>
      </c>
      <c r="AP10" s="54">
        <v>43.6</v>
      </c>
      <c r="AQ10" s="55">
        <v>1030</v>
      </c>
      <c r="AR10" s="150"/>
      <c r="AS10" s="75">
        <f t="shared" si="11"/>
        <v>8</v>
      </c>
      <c r="AT10" s="54">
        <v>13</v>
      </c>
      <c r="AU10" s="55">
        <v>45</v>
      </c>
      <c r="AV10" s="150"/>
      <c r="AW10" s="67"/>
    </row>
    <row r="11" spans="1:49" s="49" customFormat="1" ht="11.25" x14ac:dyDescent="0.2">
      <c r="A11" s="73">
        <f t="shared" si="0"/>
        <v>9</v>
      </c>
      <c r="B11" s="54">
        <v>16.600000000000001</v>
      </c>
      <c r="C11" s="55">
        <v>35</v>
      </c>
      <c r="D11" s="150"/>
      <c r="E11" s="75">
        <f t="shared" si="1"/>
        <v>9</v>
      </c>
      <c r="F11" s="54">
        <v>9</v>
      </c>
      <c r="G11" s="55">
        <v>10</v>
      </c>
      <c r="H11" s="150"/>
      <c r="I11" s="75">
        <f t="shared" si="2"/>
        <v>9</v>
      </c>
      <c r="J11" s="54">
        <v>44.5</v>
      </c>
      <c r="K11" s="55">
        <v>576</v>
      </c>
      <c r="L11" s="150"/>
      <c r="M11" s="75">
        <f t="shared" si="3"/>
        <v>9</v>
      </c>
      <c r="N11" s="54">
        <v>10.960000000000003</v>
      </c>
      <c r="O11" s="55">
        <v>40</v>
      </c>
      <c r="P11" s="150"/>
      <c r="Q11" s="75">
        <f t="shared" si="4"/>
        <v>9</v>
      </c>
      <c r="R11" s="54">
        <v>56</v>
      </c>
      <c r="S11" s="55">
        <v>355</v>
      </c>
      <c r="T11" s="150"/>
      <c r="U11" s="75">
        <f t="shared" si="5"/>
        <v>9</v>
      </c>
      <c r="V11" s="54"/>
      <c r="W11" s="55"/>
      <c r="X11" s="150"/>
      <c r="Y11" s="75">
        <f t="shared" si="6"/>
        <v>9</v>
      </c>
      <c r="Z11" s="54">
        <v>11.5</v>
      </c>
      <c r="AA11" s="55">
        <v>145</v>
      </c>
      <c r="AB11" s="150"/>
      <c r="AC11" s="75">
        <f t="shared" si="7"/>
        <v>9</v>
      </c>
      <c r="AD11" s="54">
        <v>89.5</v>
      </c>
      <c r="AE11" s="55">
        <v>1005</v>
      </c>
      <c r="AF11" s="150"/>
      <c r="AG11" s="75">
        <f t="shared" si="8"/>
        <v>9</v>
      </c>
      <c r="AH11" s="54">
        <v>10</v>
      </c>
      <c r="AI11" s="55">
        <v>40</v>
      </c>
      <c r="AJ11" s="150"/>
      <c r="AK11" s="75">
        <f t="shared" si="9"/>
        <v>9</v>
      </c>
      <c r="AL11" s="54">
        <v>27.06</v>
      </c>
      <c r="AM11" s="55">
        <v>160</v>
      </c>
      <c r="AN11" s="150"/>
      <c r="AO11" s="75">
        <f t="shared" si="10"/>
        <v>9</v>
      </c>
      <c r="AP11" s="54">
        <v>14.5</v>
      </c>
      <c r="AQ11" s="55">
        <v>50</v>
      </c>
      <c r="AR11" s="150"/>
      <c r="AS11" s="75">
        <f t="shared" si="11"/>
        <v>9</v>
      </c>
      <c r="AT11" s="54">
        <v>12</v>
      </c>
      <c r="AU11" s="55">
        <v>35</v>
      </c>
      <c r="AV11" s="150"/>
      <c r="AW11" s="67"/>
    </row>
    <row r="12" spans="1:49" s="49" customFormat="1" ht="11.25" x14ac:dyDescent="0.2">
      <c r="A12" s="73">
        <f t="shared" si="0"/>
        <v>10</v>
      </c>
      <c r="B12" s="54">
        <v>13.5</v>
      </c>
      <c r="C12" s="55">
        <v>80</v>
      </c>
      <c r="D12" s="150"/>
      <c r="E12" s="75">
        <f t="shared" si="1"/>
        <v>10</v>
      </c>
      <c r="F12" s="54">
        <v>10.3</v>
      </c>
      <c r="G12" s="55">
        <v>30</v>
      </c>
      <c r="H12" s="150"/>
      <c r="I12" s="75">
        <f t="shared" si="2"/>
        <v>10</v>
      </c>
      <c r="J12" s="54">
        <v>42</v>
      </c>
      <c r="K12" s="55">
        <v>140</v>
      </c>
      <c r="L12" s="150"/>
      <c r="M12" s="75">
        <f t="shared" si="3"/>
        <v>10</v>
      </c>
      <c r="N12" s="54">
        <v>20</v>
      </c>
      <c r="O12" s="55">
        <v>185</v>
      </c>
      <c r="P12" s="150"/>
      <c r="Q12" s="75">
        <f t="shared" si="4"/>
        <v>10</v>
      </c>
      <c r="R12" s="54">
        <v>100.89999999999999</v>
      </c>
      <c r="S12" s="55">
        <v>245</v>
      </c>
      <c r="T12" s="150"/>
      <c r="U12" s="75">
        <f t="shared" si="5"/>
        <v>10</v>
      </c>
      <c r="V12" s="54">
        <v>23.66</v>
      </c>
      <c r="W12" s="55">
        <v>112</v>
      </c>
      <c r="X12" s="150"/>
      <c r="Y12" s="75">
        <f t="shared" si="6"/>
        <v>10</v>
      </c>
      <c r="Z12" s="54">
        <v>10.3</v>
      </c>
      <c r="AA12" s="55">
        <v>100</v>
      </c>
      <c r="AB12" s="150"/>
      <c r="AC12" s="75">
        <f t="shared" si="7"/>
        <v>10</v>
      </c>
      <c r="AD12" s="54">
        <v>10</v>
      </c>
      <c r="AE12" s="55">
        <v>20</v>
      </c>
      <c r="AF12" s="150"/>
      <c r="AG12" s="75">
        <f t="shared" si="8"/>
        <v>10</v>
      </c>
      <c r="AH12" s="54">
        <v>15</v>
      </c>
      <c r="AI12" s="49">
        <v>60</v>
      </c>
      <c r="AJ12" s="150"/>
      <c r="AK12" s="75">
        <f t="shared" si="9"/>
        <v>10</v>
      </c>
      <c r="AL12" s="54">
        <v>65.12</v>
      </c>
      <c r="AM12" s="55">
        <v>737</v>
      </c>
      <c r="AN12" s="150"/>
      <c r="AO12" s="75">
        <f t="shared" si="10"/>
        <v>10</v>
      </c>
      <c r="AP12" s="54">
        <v>10.5</v>
      </c>
      <c r="AQ12" s="55">
        <v>20</v>
      </c>
      <c r="AR12" s="150"/>
      <c r="AS12" s="75">
        <f t="shared" si="11"/>
        <v>10</v>
      </c>
      <c r="AT12" s="54">
        <v>12</v>
      </c>
      <c r="AU12" s="55">
        <v>40</v>
      </c>
      <c r="AV12" s="150"/>
      <c r="AW12" s="67"/>
    </row>
    <row r="13" spans="1:49" s="49" customFormat="1" ht="11.25" x14ac:dyDescent="0.2">
      <c r="A13" s="73">
        <f t="shared" si="0"/>
        <v>11</v>
      </c>
      <c r="B13" s="54">
        <v>25</v>
      </c>
      <c r="C13" s="55">
        <v>210</v>
      </c>
      <c r="D13" s="150"/>
      <c r="E13" s="75">
        <f t="shared" si="1"/>
        <v>11</v>
      </c>
      <c r="F13" s="54">
        <v>10.1</v>
      </c>
      <c r="G13" s="55">
        <v>15</v>
      </c>
      <c r="H13" s="150"/>
      <c r="I13" s="75">
        <f t="shared" si="2"/>
        <v>11</v>
      </c>
      <c r="J13" s="54">
        <v>15.5</v>
      </c>
      <c r="K13" s="55">
        <v>95</v>
      </c>
      <c r="L13" s="150"/>
      <c r="M13" s="75">
        <f t="shared" si="3"/>
        <v>11</v>
      </c>
      <c r="N13" s="54">
        <v>51.220000000000006</v>
      </c>
      <c r="O13" s="55">
        <v>163</v>
      </c>
      <c r="P13" s="150"/>
      <c r="Q13" s="75">
        <f t="shared" si="4"/>
        <v>11</v>
      </c>
      <c r="R13" s="54">
        <v>18.3</v>
      </c>
      <c r="S13" s="55">
        <v>404</v>
      </c>
      <c r="T13" s="150"/>
      <c r="U13" s="75">
        <f t="shared" si="5"/>
        <v>11</v>
      </c>
      <c r="V13" s="54">
        <v>27.06</v>
      </c>
      <c r="W13" s="55">
        <v>160</v>
      </c>
      <c r="X13" s="150"/>
      <c r="Y13" s="75">
        <f t="shared" si="6"/>
        <v>11</v>
      </c>
      <c r="Z13" s="54">
        <v>58.480000000000004</v>
      </c>
      <c r="AA13" s="55">
        <v>910</v>
      </c>
      <c r="AB13" s="150"/>
      <c r="AC13" s="75">
        <f t="shared" si="7"/>
        <v>11</v>
      </c>
      <c r="AD13" s="54">
        <v>14</v>
      </c>
      <c r="AE13" s="55">
        <v>100</v>
      </c>
      <c r="AF13" s="150"/>
      <c r="AG13" s="75">
        <f t="shared" si="8"/>
        <v>11</v>
      </c>
      <c r="AH13" s="54">
        <v>10.6</v>
      </c>
      <c r="AI13" s="55">
        <v>350</v>
      </c>
      <c r="AJ13" s="150"/>
      <c r="AK13" s="75">
        <f t="shared" si="9"/>
        <v>11</v>
      </c>
      <c r="AL13" s="54">
        <v>0.8</v>
      </c>
      <c r="AM13" s="55">
        <v>2</v>
      </c>
      <c r="AN13" s="150"/>
      <c r="AO13" s="75">
        <f t="shared" si="10"/>
        <v>11</v>
      </c>
      <c r="AP13" s="54">
        <v>11</v>
      </c>
      <c r="AQ13" s="55">
        <v>60</v>
      </c>
      <c r="AR13" s="150"/>
      <c r="AS13" s="75">
        <f t="shared" si="11"/>
        <v>11</v>
      </c>
      <c r="AT13" s="54">
        <v>11</v>
      </c>
      <c r="AU13" s="55">
        <v>30</v>
      </c>
      <c r="AV13" s="150"/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50"/>
      <c r="E14" s="75">
        <f t="shared" si="1"/>
        <v>12</v>
      </c>
      <c r="F14" s="54">
        <v>11.1</v>
      </c>
      <c r="G14" s="55">
        <v>30</v>
      </c>
      <c r="H14" s="150"/>
      <c r="I14" s="75">
        <f t="shared" si="2"/>
        <v>12</v>
      </c>
      <c r="J14" s="54">
        <v>14.3</v>
      </c>
      <c r="K14" s="55">
        <v>160</v>
      </c>
      <c r="L14" s="150"/>
      <c r="M14" s="75">
        <f t="shared" si="3"/>
        <v>12</v>
      </c>
      <c r="N14" s="54">
        <v>50</v>
      </c>
      <c r="O14" s="55">
        <v>350</v>
      </c>
      <c r="P14" s="150"/>
      <c r="Q14" s="75">
        <f t="shared" si="4"/>
        <v>12</v>
      </c>
      <c r="R14" s="54">
        <v>14.219999999999999</v>
      </c>
      <c r="S14" s="55">
        <v>90</v>
      </c>
      <c r="T14" s="150"/>
      <c r="U14" s="75">
        <f t="shared" si="5"/>
        <v>12</v>
      </c>
      <c r="V14" s="54">
        <v>17.5</v>
      </c>
      <c r="W14" s="55">
        <v>350</v>
      </c>
      <c r="X14" s="150"/>
      <c r="Y14" s="75">
        <f t="shared" si="6"/>
        <v>12</v>
      </c>
      <c r="Z14" s="54">
        <v>70.62</v>
      </c>
      <c r="AA14" s="55">
        <v>948</v>
      </c>
      <c r="AB14" s="150"/>
      <c r="AC14" s="75">
        <f t="shared" si="7"/>
        <v>12</v>
      </c>
      <c r="AD14" s="54">
        <v>17.149999999999999</v>
      </c>
      <c r="AE14" s="78">
        <v>57</v>
      </c>
      <c r="AF14" s="150"/>
      <c r="AG14" s="75">
        <f t="shared" si="8"/>
        <v>12</v>
      </c>
      <c r="AH14" s="54">
        <v>50.6</v>
      </c>
      <c r="AI14" s="55">
        <v>455</v>
      </c>
      <c r="AJ14" s="150"/>
      <c r="AK14" s="75">
        <f t="shared" si="9"/>
        <v>12</v>
      </c>
      <c r="AL14" s="54">
        <v>17.27</v>
      </c>
      <c r="AM14" s="55">
        <v>97</v>
      </c>
      <c r="AN14" s="150"/>
      <c r="AO14" s="75">
        <f t="shared" si="10"/>
        <v>12</v>
      </c>
      <c r="AP14" s="54">
        <v>19.2</v>
      </c>
      <c r="AQ14" s="55">
        <v>64</v>
      </c>
      <c r="AR14" s="150"/>
      <c r="AS14" s="75">
        <f t="shared" si="11"/>
        <v>12</v>
      </c>
      <c r="AT14" s="54">
        <v>14</v>
      </c>
      <c r="AU14" s="55">
        <v>35</v>
      </c>
      <c r="AV14" s="150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50"/>
      <c r="E15" s="75">
        <f t="shared" si="1"/>
        <v>13</v>
      </c>
      <c r="F15" s="54">
        <v>10.1</v>
      </c>
      <c r="G15" s="55">
        <v>30</v>
      </c>
      <c r="H15" s="150"/>
      <c r="I15" s="75">
        <f t="shared" si="2"/>
        <v>13</v>
      </c>
      <c r="J15" s="54">
        <v>6.4</v>
      </c>
      <c r="K15" s="55">
        <v>15</v>
      </c>
      <c r="L15" s="150"/>
      <c r="M15" s="75">
        <f t="shared" si="3"/>
        <v>13</v>
      </c>
      <c r="N15" s="54"/>
      <c r="O15" s="55"/>
      <c r="P15" s="150"/>
      <c r="Q15" s="75">
        <f t="shared" si="4"/>
        <v>13</v>
      </c>
      <c r="R15" s="54">
        <v>10.7</v>
      </c>
      <c r="S15" s="55">
        <v>80</v>
      </c>
      <c r="T15" s="150"/>
      <c r="U15" s="75">
        <f t="shared" si="5"/>
        <v>13</v>
      </c>
      <c r="V15" s="54">
        <v>40.159999999999997</v>
      </c>
      <c r="W15" s="55">
        <v>232</v>
      </c>
      <c r="X15" s="150"/>
      <c r="Y15" s="75">
        <f t="shared" si="6"/>
        <v>13</v>
      </c>
      <c r="Z15" s="54">
        <v>11</v>
      </c>
      <c r="AA15" s="55">
        <v>5</v>
      </c>
      <c r="AB15" s="150"/>
      <c r="AC15" s="75">
        <f t="shared" si="7"/>
        <v>13</v>
      </c>
      <c r="AD15" s="54">
        <v>16.48</v>
      </c>
      <c r="AE15" s="55">
        <v>55</v>
      </c>
      <c r="AF15" s="150"/>
      <c r="AG15" s="75">
        <f t="shared" si="8"/>
        <v>13</v>
      </c>
      <c r="AH15" s="54">
        <v>15</v>
      </c>
      <c r="AI15" s="55">
        <v>90</v>
      </c>
      <c r="AJ15" s="150"/>
      <c r="AK15" s="75">
        <f t="shared" si="9"/>
        <v>13</v>
      </c>
      <c r="AL15" s="54">
        <v>1.5</v>
      </c>
      <c r="AM15" s="55">
        <v>5</v>
      </c>
      <c r="AN15" s="150"/>
      <c r="AO15" s="75">
        <f t="shared" si="10"/>
        <v>13</v>
      </c>
      <c r="AP15" s="54">
        <v>53.75</v>
      </c>
      <c r="AQ15" s="55">
        <v>647</v>
      </c>
      <c r="AR15" s="150"/>
      <c r="AS15" s="75">
        <f t="shared" si="11"/>
        <v>13</v>
      </c>
      <c r="AT15" s="54">
        <v>31</v>
      </c>
      <c r="AU15" s="55">
        <v>154</v>
      </c>
      <c r="AV15" s="150"/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50"/>
      <c r="E16" s="75">
        <f t="shared" si="1"/>
        <v>14</v>
      </c>
      <c r="F16" s="54">
        <v>17.3</v>
      </c>
      <c r="G16" s="55">
        <v>305</v>
      </c>
      <c r="H16" s="150"/>
      <c r="I16" s="75">
        <f t="shared" si="2"/>
        <v>14</v>
      </c>
      <c r="J16" s="54"/>
      <c r="K16" s="55"/>
      <c r="L16" s="150"/>
      <c r="M16" s="75">
        <f t="shared" si="3"/>
        <v>14</v>
      </c>
      <c r="N16" s="54"/>
      <c r="O16" s="55"/>
      <c r="P16" s="150"/>
      <c r="Q16" s="75">
        <f t="shared" si="4"/>
        <v>14</v>
      </c>
      <c r="R16" s="54">
        <v>121.18</v>
      </c>
      <c r="S16" s="49">
        <v>1535</v>
      </c>
      <c r="T16" s="150"/>
      <c r="U16" s="75">
        <f t="shared" si="5"/>
        <v>14</v>
      </c>
      <c r="V16" s="54">
        <v>18.600000000000001</v>
      </c>
      <c r="W16" s="55">
        <v>135</v>
      </c>
      <c r="X16" s="150"/>
      <c r="Y16" s="75">
        <f t="shared" si="6"/>
        <v>14</v>
      </c>
      <c r="Z16" s="54">
        <v>10</v>
      </c>
      <c r="AA16" s="55">
        <v>20</v>
      </c>
      <c r="AB16" s="150"/>
      <c r="AC16" s="75">
        <f t="shared" si="7"/>
        <v>14</v>
      </c>
      <c r="AD16" s="54">
        <v>16.399999999999999</v>
      </c>
      <c r="AE16" s="55">
        <v>50</v>
      </c>
      <c r="AF16" s="150"/>
      <c r="AG16" s="75">
        <f t="shared" si="8"/>
        <v>14</v>
      </c>
      <c r="AH16" s="54">
        <v>24.66</v>
      </c>
      <c r="AI16" s="55">
        <v>25</v>
      </c>
      <c r="AJ16" s="150"/>
      <c r="AK16" s="75">
        <f t="shared" si="9"/>
        <v>14</v>
      </c>
      <c r="AL16" s="54">
        <v>19</v>
      </c>
      <c r="AM16" s="55">
        <v>30</v>
      </c>
      <c r="AN16" s="150"/>
      <c r="AO16" s="75">
        <f t="shared" si="10"/>
        <v>14</v>
      </c>
      <c r="AP16" s="54">
        <v>43.6</v>
      </c>
      <c r="AQ16" s="55">
        <v>1030</v>
      </c>
      <c r="AR16" s="150"/>
      <c r="AS16" s="75">
        <f t="shared" si="11"/>
        <v>14</v>
      </c>
      <c r="AT16" s="54">
        <v>15.5</v>
      </c>
      <c r="AU16" s="55">
        <v>60</v>
      </c>
      <c r="AV16" s="150"/>
      <c r="AW16" s="67"/>
    </row>
    <row r="17" spans="1:49" s="49" customFormat="1" ht="11.25" x14ac:dyDescent="0.2">
      <c r="A17" s="73">
        <f t="shared" si="0"/>
        <v>15</v>
      </c>
      <c r="B17" s="54">
        <v>19</v>
      </c>
      <c r="C17" s="55">
        <v>400</v>
      </c>
      <c r="D17" s="150"/>
      <c r="E17" s="75">
        <f t="shared" si="1"/>
        <v>15</v>
      </c>
      <c r="F17" s="54">
        <v>20.399999999999999</v>
      </c>
      <c r="G17" s="55">
        <v>140</v>
      </c>
      <c r="H17" s="150">
        <v>2.7777777777777776E-2</v>
      </c>
      <c r="I17" s="75">
        <f t="shared" si="2"/>
        <v>15</v>
      </c>
      <c r="J17" s="54">
        <v>10</v>
      </c>
      <c r="K17" s="55">
        <v>5</v>
      </c>
      <c r="L17" s="150"/>
      <c r="M17" s="75">
        <f t="shared" si="3"/>
        <v>15</v>
      </c>
      <c r="N17" s="54">
        <v>12.46</v>
      </c>
      <c r="O17" s="55">
        <v>351</v>
      </c>
      <c r="P17" s="150"/>
      <c r="Q17" s="75">
        <f t="shared" si="4"/>
        <v>15</v>
      </c>
      <c r="R17" s="54">
        <v>16.100000000000001</v>
      </c>
      <c r="S17" s="49">
        <v>160</v>
      </c>
      <c r="T17" s="150"/>
      <c r="U17" s="75">
        <f t="shared" si="5"/>
        <v>15</v>
      </c>
      <c r="V17" s="54">
        <v>52.55</v>
      </c>
      <c r="W17" s="55">
        <v>300</v>
      </c>
      <c r="X17" s="150"/>
      <c r="Y17" s="75">
        <f t="shared" si="6"/>
        <v>15</v>
      </c>
      <c r="Z17" s="54">
        <v>10</v>
      </c>
      <c r="AA17" s="55">
        <v>20</v>
      </c>
      <c r="AB17" s="150"/>
      <c r="AC17" s="75">
        <f t="shared" si="7"/>
        <v>15</v>
      </c>
      <c r="AD17" s="54">
        <v>34.75</v>
      </c>
      <c r="AE17" s="55">
        <v>520</v>
      </c>
      <c r="AF17" s="150"/>
      <c r="AG17" s="75">
        <f t="shared" si="8"/>
        <v>15</v>
      </c>
      <c r="AH17" s="54"/>
      <c r="AI17" s="55"/>
      <c r="AJ17" s="150"/>
      <c r="AK17" s="75">
        <f t="shared" si="9"/>
        <v>15</v>
      </c>
      <c r="AL17" s="54">
        <v>18</v>
      </c>
      <c r="AM17" s="55">
        <v>30</v>
      </c>
      <c r="AN17" s="150"/>
      <c r="AO17" s="75">
        <f t="shared" si="10"/>
        <v>15</v>
      </c>
      <c r="AP17" s="54">
        <v>10</v>
      </c>
      <c r="AQ17" s="55">
        <v>30</v>
      </c>
      <c r="AR17" s="150"/>
      <c r="AS17" s="75">
        <f t="shared" si="11"/>
        <v>15</v>
      </c>
      <c r="AT17" s="54"/>
      <c r="AU17" s="55"/>
      <c r="AV17" s="150"/>
      <c r="AW17" s="67"/>
    </row>
    <row r="18" spans="1:49" s="49" customFormat="1" ht="11.25" x14ac:dyDescent="0.2">
      <c r="A18" s="73">
        <f t="shared" si="0"/>
        <v>16</v>
      </c>
      <c r="B18" s="54">
        <v>15.6</v>
      </c>
      <c r="C18" s="55">
        <v>600</v>
      </c>
      <c r="D18" s="150"/>
      <c r="E18" s="75">
        <f t="shared" si="1"/>
        <v>16</v>
      </c>
      <c r="F18" s="54">
        <v>13.96</v>
      </c>
      <c r="G18" s="55">
        <v>140</v>
      </c>
      <c r="H18" s="150"/>
      <c r="I18" s="75">
        <f t="shared" si="2"/>
        <v>16</v>
      </c>
      <c r="J18" s="54">
        <v>23</v>
      </c>
      <c r="K18" s="55">
        <v>105</v>
      </c>
      <c r="L18" s="150"/>
      <c r="M18" s="75">
        <f t="shared" si="3"/>
        <v>16</v>
      </c>
      <c r="N18" s="54">
        <v>12.46</v>
      </c>
      <c r="O18" s="55">
        <v>351</v>
      </c>
      <c r="P18" s="150"/>
      <c r="Q18" s="75">
        <f t="shared" si="4"/>
        <v>16</v>
      </c>
      <c r="R18" s="54">
        <v>65.599999999999994</v>
      </c>
      <c r="S18" s="55">
        <v>1014</v>
      </c>
      <c r="T18" s="150"/>
      <c r="U18" s="75">
        <f t="shared" si="5"/>
        <v>16</v>
      </c>
      <c r="V18" s="54">
        <v>65</v>
      </c>
      <c r="W18" s="55">
        <v>170</v>
      </c>
      <c r="X18" s="150"/>
      <c r="Y18" s="75">
        <f t="shared" si="6"/>
        <v>16</v>
      </c>
      <c r="Z18" s="54">
        <v>10</v>
      </c>
      <c r="AA18" s="55">
        <v>20</v>
      </c>
      <c r="AB18" s="150"/>
      <c r="AC18" s="75">
        <f t="shared" si="7"/>
        <v>16</v>
      </c>
      <c r="AD18" s="54"/>
      <c r="AE18" s="55"/>
      <c r="AF18" s="150"/>
      <c r="AG18" s="75">
        <f t="shared" si="8"/>
        <v>16</v>
      </c>
      <c r="AH18" s="54"/>
      <c r="AI18" s="55"/>
      <c r="AJ18" s="150"/>
      <c r="AK18" s="75">
        <f t="shared" si="9"/>
        <v>16</v>
      </c>
      <c r="AL18" s="54">
        <v>17</v>
      </c>
      <c r="AM18" s="55">
        <v>30</v>
      </c>
      <c r="AN18" s="150"/>
      <c r="AO18" s="75">
        <f t="shared" si="10"/>
        <v>16</v>
      </c>
      <c r="AP18" s="54">
        <v>10.350000000000001</v>
      </c>
      <c r="AQ18" s="55">
        <v>32</v>
      </c>
      <c r="AR18" s="150"/>
      <c r="AS18" s="75">
        <f t="shared" si="11"/>
        <v>16</v>
      </c>
      <c r="AT18" s="54">
        <v>11</v>
      </c>
      <c r="AU18" s="55">
        <v>30</v>
      </c>
      <c r="AV18" s="150"/>
      <c r="AW18" s="67"/>
    </row>
    <row r="19" spans="1:49" s="49" customFormat="1" ht="11.25" x14ac:dyDescent="0.2">
      <c r="A19" s="73">
        <f t="shared" si="0"/>
        <v>17</v>
      </c>
      <c r="B19" s="54">
        <v>30</v>
      </c>
      <c r="C19" s="55">
        <v>830</v>
      </c>
      <c r="D19" s="150"/>
      <c r="E19" s="75">
        <f t="shared" si="1"/>
        <v>17</v>
      </c>
      <c r="F19" s="54">
        <v>8.26</v>
      </c>
      <c r="G19" s="55">
        <v>70</v>
      </c>
      <c r="H19" s="150"/>
      <c r="I19" s="75">
        <f t="shared" si="2"/>
        <v>17</v>
      </c>
      <c r="J19" s="54">
        <v>12.65</v>
      </c>
      <c r="K19" s="55">
        <v>80</v>
      </c>
      <c r="L19" s="150"/>
      <c r="M19" s="75">
        <f t="shared" si="3"/>
        <v>17</v>
      </c>
      <c r="N19" s="54">
        <v>21.3</v>
      </c>
      <c r="O19" s="55">
        <v>65</v>
      </c>
      <c r="P19" s="150"/>
      <c r="Q19" s="75">
        <f t="shared" si="4"/>
        <v>17</v>
      </c>
      <c r="R19" s="54">
        <v>26.9</v>
      </c>
      <c r="S19" s="55">
        <v>482</v>
      </c>
      <c r="T19" s="150"/>
      <c r="U19" s="75">
        <f t="shared" si="5"/>
        <v>17</v>
      </c>
      <c r="V19" s="54">
        <v>30.36</v>
      </c>
      <c r="W19" s="55">
        <v>422</v>
      </c>
      <c r="X19" s="150"/>
      <c r="Y19" s="75">
        <f t="shared" si="6"/>
        <v>17</v>
      </c>
      <c r="Z19" s="54">
        <v>16.259999999999998</v>
      </c>
      <c r="AA19" s="55">
        <v>72</v>
      </c>
      <c r="AB19" s="150"/>
      <c r="AC19" s="75">
        <f t="shared" si="7"/>
        <v>17</v>
      </c>
      <c r="AD19" s="54"/>
      <c r="AE19" s="55"/>
      <c r="AF19" s="150"/>
      <c r="AG19" s="75">
        <f t="shared" si="8"/>
        <v>17</v>
      </c>
      <c r="AH19" s="54">
        <v>19.2</v>
      </c>
      <c r="AI19" s="55">
        <v>20</v>
      </c>
      <c r="AJ19" s="150"/>
      <c r="AK19" s="75">
        <f t="shared" si="9"/>
        <v>17</v>
      </c>
      <c r="AL19" s="54">
        <v>53.4</v>
      </c>
      <c r="AM19" s="55">
        <v>110</v>
      </c>
      <c r="AN19" s="150"/>
      <c r="AO19" s="75">
        <f t="shared" si="10"/>
        <v>17</v>
      </c>
      <c r="AP19" s="54">
        <v>11</v>
      </c>
      <c r="AQ19" s="55">
        <v>30</v>
      </c>
      <c r="AR19" s="150"/>
      <c r="AS19" s="75">
        <f t="shared" si="11"/>
        <v>17</v>
      </c>
      <c r="AT19" s="54"/>
      <c r="AU19" s="55"/>
      <c r="AV19" s="150"/>
      <c r="AW19" s="67"/>
    </row>
    <row r="20" spans="1:49" s="49" customFormat="1" ht="11.25" x14ac:dyDescent="0.2">
      <c r="A20" s="73">
        <f t="shared" si="0"/>
        <v>18</v>
      </c>
      <c r="B20" s="54">
        <v>21</v>
      </c>
      <c r="C20" s="55">
        <v>540</v>
      </c>
      <c r="D20" s="150"/>
      <c r="E20" s="75">
        <f t="shared" si="1"/>
        <v>18</v>
      </c>
      <c r="F20" s="54"/>
      <c r="G20" s="55"/>
      <c r="H20" s="150"/>
      <c r="I20" s="75">
        <f t="shared" si="2"/>
        <v>18</v>
      </c>
      <c r="J20" s="54">
        <v>70.38</v>
      </c>
      <c r="K20" s="55">
        <v>820</v>
      </c>
      <c r="L20" s="150"/>
      <c r="M20" s="75">
        <f t="shared" si="3"/>
        <v>18</v>
      </c>
      <c r="N20" s="54">
        <v>64.539999999999992</v>
      </c>
      <c r="O20" s="55">
        <v>449</v>
      </c>
      <c r="P20" s="150"/>
      <c r="Q20" s="75">
        <f t="shared" si="4"/>
        <v>18</v>
      </c>
      <c r="R20" s="54">
        <v>16.100000000000001</v>
      </c>
      <c r="S20" s="55">
        <v>160</v>
      </c>
      <c r="T20" s="150"/>
      <c r="U20" s="75">
        <f t="shared" si="5"/>
        <v>18</v>
      </c>
      <c r="V20" s="54">
        <v>24.66</v>
      </c>
      <c r="W20" s="55">
        <v>25</v>
      </c>
      <c r="X20" s="150"/>
      <c r="Y20" s="75">
        <f t="shared" si="6"/>
        <v>18</v>
      </c>
      <c r="Z20" s="54">
        <v>55.01</v>
      </c>
      <c r="AA20" s="55">
        <v>462</v>
      </c>
      <c r="AB20" s="150"/>
      <c r="AC20" s="75">
        <f t="shared" si="7"/>
        <v>18</v>
      </c>
      <c r="AD20" s="54"/>
      <c r="AE20" s="55"/>
      <c r="AF20" s="150"/>
      <c r="AG20" s="75">
        <f t="shared" si="8"/>
        <v>18</v>
      </c>
      <c r="AH20" s="54">
        <v>10</v>
      </c>
      <c r="AI20" s="55">
        <v>40</v>
      </c>
      <c r="AJ20" s="150"/>
      <c r="AK20" s="75">
        <f t="shared" si="9"/>
        <v>18</v>
      </c>
      <c r="AL20" s="54">
        <v>18.3</v>
      </c>
      <c r="AM20" s="55">
        <v>75</v>
      </c>
      <c r="AN20" s="150"/>
      <c r="AO20" s="75">
        <f t="shared" si="10"/>
        <v>18</v>
      </c>
      <c r="AP20" s="54"/>
      <c r="AQ20" s="55"/>
      <c r="AR20" s="150"/>
      <c r="AS20" s="75">
        <f t="shared" si="11"/>
        <v>18</v>
      </c>
      <c r="AT20" s="54">
        <v>11.4</v>
      </c>
      <c r="AU20" s="55">
        <v>40</v>
      </c>
      <c r="AV20" s="150"/>
      <c r="AW20" s="67"/>
    </row>
    <row r="21" spans="1:49" s="49" customFormat="1" ht="11.25" x14ac:dyDescent="0.2">
      <c r="A21" s="73">
        <f t="shared" si="0"/>
        <v>19</v>
      </c>
      <c r="B21" s="54">
        <v>13.5</v>
      </c>
      <c r="C21" s="55">
        <v>680</v>
      </c>
      <c r="D21" s="150"/>
      <c r="E21" s="75">
        <f t="shared" si="1"/>
        <v>19</v>
      </c>
      <c r="F21" s="54">
        <v>12</v>
      </c>
      <c r="G21" s="55">
        <v>20</v>
      </c>
      <c r="H21" s="150"/>
      <c r="I21" s="75">
        <f t="shared" si="2"/>
        <v>19</v>
      </c>
      <c r="J21" s="54">
        <v>10</v>
      </c>
      <c r="K21" s="55">
        <v>30</v>
      </c>
      <c r="L21" s="150"/>
      <c r="M21" s="75">
        <f t="shared" si="3"/>
        <v>19</v>
      </c>
      <c r="N21" s="54">
        <v>52.99</v>
      </c>
      <c r="O21" s="55">
        <v>1236</v>
      </c>
      <c r="P21" s="150"/>
      <c r="Q21" s="75">
        <f t="shared" si="4"/>
        <v>19</v>
      </c>
      <c r="R21" s="54">
        <v>10.6</v>
      </c>
      <c r="S21" s="55">
        <v>25</v>
      </c>
      <c r="T21" s="150"/>
      <c r="U21" s="75">
        <f t="shared" si="5"/>
        <v>19</v>
      </c>
      <c r="V21" s="54">
        <v>43.9</v>
      </c>
      <c r="W21" s="55">
        <v>300</v>
      </c>
      <c r="X21" s="150"/>
      <c r="Y21" s="75">
        <f t="shared" si="6"/>
        <v>19</v>
      </c>
      <c r="Z21" s="54">
        <v>27.3</v>
      </c>
      <c r="AA21" s="55">
        <v>460</v>
      </c>
      <c r="AB21" s="150"/>
      <c r="AC21" s="75">
        <f t="shared" si="7"/>
        <v>19</v>
      </c>
      <c r="AD21" s="54"/>
      <c r="AE21" s="55"/>
      <c r="AF21" s="150"/>
      <c r="AG21" s="75">
        <f t="shared" si="8"/>
        <v>19</v>
      </c>
      <c r="AH21" s="54">
        <v>25</v>
      </c>
      <c r="AI21" s="55">
        <v>25</v>
      </c>
      <c r="AJ21" s="150"/>
      <c r="AK21" s="75">
        <f t="shared" si="9"/>
        <v>19</v>
      </c>
      <c r="AL21" s="54">
        <v>17</v>
      </c>
      <c r="AM21" s="55">
        <v>30</v>
      </c>
      <c r="AN21" s="150"/>
      <c r="AO21" s="75">
        <f t="shared" si="10"/>
        <v>19</v>
      </c>
      <c r="AP21" s="54">
        <v>9</v>
      </c>
      <c r="AQ21" s="55">
        <v>5</v>
      </c>
      <c r="AR21" s="150"/>
      <c r="AS21" s="75">
        <f t="shared" si="11"/>
        <v>19</v>
      </c>
      <c r="AT21" s="54">
        <v>58.72</v>
      </c>
      <c r="AU21" s="55">
        <v>718</v>
      </c>
      <c r="AV21" s="150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50"/>
      <c r="E22" s="75">
        <f t="shared" si="1"/>
        <v>20</v>
      </c>
      <c r="F22" s="54">
        <v>10.5</v>
      </c>
      <c r="G22" s="55">
        <v>185</v>
      </c>
      <c r="H22" s="150"/>
      <c r="I22" s="75">
        <f t="shared" si="2"/>
        <v>20</v>
      </c>
      <c r="J22" s="54">
        <v>15.51</v>
      </c>
      <c r="K22" s="55">
        <v>158</v>
      </c>
      <c r="L22" s="150"/>
      <c r="M22" s="75">
        <f t="shared" si="3"/>
        <v>20</v>
      </c>
      <c r="N22" s="54">
        <v>13.5</v>
      </c>
      <c r="O22" s="55">
        <v>52</v>
      </c>
      <c r="P22" s="150"/>
      <c r="Q22" s="75">
        <f t="shared" si="4"/>
        <v>20</v>
      </c>
      <c r="R22" s="54">
        <v>14.4</v>
      </c>
      <c r="S22" s="55">
        <v>5</v>
      </c>
      <c r="T22" s="150"/>
      <c r="U22" s="75">
        <f t="shared" si="5"/>
        <v>20</v>
      </c>
      <c r="V22" s="54">
        <v>24.66</v>
      </c>
      <c r="W22" s="55">
        <v>25</v>
      </c>
      <c r="X22" s="150"/>
      <c r="Y22" s="75">
        <f t="shared" si="6"/>
        <v>20</v>
      </c>
      <c r="Z22" s="54">
        <v>20.2</v>
      </c>
      <c r="AA22" s="55">
        <v>30</v>
      </c>
      <c r="AB22" s="150"/>
      <c r="AC22" s="75">
        <f t="shared" si="7"/>
        <v>20</v>
      </c>
      <c r="AD22" s="54"/>
      <c r="AE22" s="55"/>
      <c r="AF22" s="150"/>
      <c r="AG22" s="75">
        <f t="shared" si="8"/>
        <v>20</v>
      </c>
      <c r="AH22" s="54">
        <v>61.7</v>
      </c>
      <c r="AI22" s="55">
        <v>755</v>
      </c>
      <c r="AJ22" s="150"/>
      <c r="AK22" s="75">
        <f t="shared" si="9"/>
        <v>20</v>
      </c>
      <c r="AL22" s="54">
        <v>17</v>
      </c>
      <c r="AM22" s="55">
        <v>30</v>
      </c>
      <c r="AN22" s="150"/>
      <c r="AO22" s="75">
        <f t="shared" si="10"/>
        <v>20</v>
      </c>
      <c r="AP22" s="54">
        <v>10</v>
      </c>
      <c r="AQ22" s="55">
        <v>30</v>
      </c>
      <c r="AR22" s="150"/>
      <c r="AS22" s="75">
        <f t="shared" si="11"/>
        <v>20</v>
      </c>
      <c r="AT22" s="54">
        <v>22.3</v>
      </c>
      <c r="AU22" s="55">
        <v>80</v>
      </c>
      <c r="AV22" s="150"/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50"/>
      <c r="E23" s="75">
        <f t="shared" si="1"/>
        <v>21</v>
      </c>
      <c r="F23" s="54">
        <v>22.5</v>
      </c>
      <c r="G23" s="55">
        <v>210</v>
      </c>
      <c r="H23" s="150"/>
      <c r="I23" s="75">
        <f t="shared" si="2"/>
        <v>21</v>
      </c>
      <c r="J23" s="54">
        <v>37.159999999999997</v>
      </c>
      <c r="K23" s="55">
        <v>170</v>
      </c>
      <c r="L23" s="150"/>
      <c r="M23" s="75">
        <f t="shared" si="3"/>
        <v>21</v>
      </c>
      <c r="N23" s="54">
        <v>11.4</v>
      </c>
      <c r="O23" s="55">
        <v>40</v>
      </c>
      <c r="P23" s="150"/>
      <c r="Q23" s="75">
        <f t="shared" si="4"/>
        <v>21</v>
      </c>
      <c r="R23" s="54">
        <v>13.96</v>
      </c>
      <c r="S23" s="55">
        <v>140</v>
      </c>
      <c r="T23" s="150"/>
      <c r="U23" s="75">
        <f t="shared" si="5"/>
        <v>21</v>
      </c>
      <c r="V23" s="54">
        <v>31.6</v>
      </c>
      <c r="W23" s="55">
        <v>170</v>
      </c>
      <c r="X23" s="150"/>
      <c r="Y23" s="75">
        <f t="shared" si="6"/>
        <v>21</v>
      </c>
      <c r="Z23" s="54">
        <v>24.66</v>
      </c>
      <c r="AA23" s="55">
        <v>25</v>
      </c>
      <c r="AB23" s="150"/>
      <c r="AC23" s="75">
        <f t="shared" si="7"/>
        <v>21</v>
      </c>
      <c r="AD23" s="54"/>
      <c r="AE23" s="55"/>
      <c r="AF23" s="150"/>
      <c r="AG23" s="75">
        <f t="shared" si="8"/>
        <v>21</v>
      </c>
      <c r="AH23" s="54">
        <v>13.5</v>
      </c>
      <c r="AI23" s="55">
        <v>125</v>
      </c>
      <c r="AJ23" s="150"/>
      <c r="AK23" s="75">
        <f t="shared" si="9"/>
        <v>21</v>
      </c>
      <c r="AL23" s="54">
        <v>27.7</v>
      </c>
      <c r="AM23" s="55">
        <v>180</v>
      </c>
      <c r="AN23" s="150"/>
      <c r="AO23" s="75">
        <f t="shared" si="10"/>
        <v>21</v>
      </c>
      <c r="AP23" s="54">
        <v>34.659999999999997</v>
      </c>
      <c r="AQ23" s="55">
        <v>55</v>
      </c>
      <c r="AR23" s="150"/>
      <c r="AS23" s="75">
        <f t="shared" si="11"/>
        <v>21</v>
      </c>
      <c r="AT23" s="54">
        <v>10</v>
      </c>
      <c r="AU23" s="55">
        <v>20</v>
      </c>
      <c r="AV23" s="150"/>
      <c r="AW23" s="67"/>
    </row>
    <row r="24" spans="1:49" s="49" customFormat="1" ht="11.25" x14ac:dyDescent="0.2">
      <c r="A24" s="73">
        <f t="shared" si="0"/>
        <v>22</v>
      </c>
      <c r="B24" s="54"/>
      <c r="C24" s="55"/>
      <c r="D24" s="150"/>
      <c r="E24" s="75">
        <f t="shared" si="1"/>
        <v>22</v>
      </c>
      <c r="F24" s="54">
        <v>13.4</v>
      </c>
      <c r="G24" s="55">
        <v>285</v>
      </c>
      <c r="H24" s="150"/>
      <c r="I24" s="75">
        <f t="shared" si="2"/>
        <v>22</v>
      </c>
      <c r="J24" s="54">
        <v>29.330000000000002</v>
      </c>
      <c r="K24" s="55">
        <v>400</v>
      </c>
      <c r="L24" s="150"/>
      <c r="M24" s="75">
        <f t="shared" si="3"/>
        <v>22</v>
      </c>
      <c r="N24" s="54">
        <v>16.68</v>
      </c>
      <c r="O24" s="55">
        <v>102</v>
      </c>
      <c r="P24" s="150"/>
      <c r="Q24" s="75">
        <f t="shared" si="4"/>
        <v>22</v>
      </c>
      <c r="R24" s="54">
        <v>12.46</v>
      </c>
      <c r="S24" s="49">
        <v>351</v>
      </c>
      <c r="T24" s="150"/>
      <c r="U24" s="75">
        <f t="shared" si="5"/>
        <v>22</v>
      </c>
      <c r="V24" s="54">
        <v>27.2</v>
      </c>
      <c r="W24" s="55">
        <v>483</v>
      </c>
      <c r="X24" s="150"/>
      <c r="Y24" s="75">
        <f t="shared" si="6"/>
        <v>22</v>
      </c>
      <c r="Z24" s="54">
        <v>12.6</v>
      </c>
      <c r="AA24" s="55">
        <v>150</v>
      </c>
      <c r="AB24" s="150"/>
      <c r="AC24" s="75">
        <f t="shared" si="7"/>
        <v>22</v>
      </c>
      <c r="AD24" s="54"/>
      <c r="AE24" s="55"/>
      <c r="AF24" s="150"/>
      <c r="AG24" s="75">
        <f t="shared" si="8"/>
        <v>22</v>
      </c>
      <c r="AH24" s="54">
        <v>10</v>
      </c>
      <c r="AI24" s="55">
        <v>30</v>
      </c>
      <c r="AJ24" s="150"/>
      <c r="AK24" s="75">
        <f t="shared" si="9"/>
        <v>22</v>
      </c>
      <c r="AL24" s="54">
        <v>10.5</v>
      </c>
      <c r="AM24" s="55">
        <v>30</v>
      </c>
      <c r="AN24" s="150"/>
      <c r="AO24" s="75">
        <f t="shared" si="10"/>
        <v>22</v>
      </c>
      <c r="AP24" s="54">
        <v>41.68</v>
      </c>
      <c r="AQ24" s="55">
        <v>247</v>
      </c>
      <c r="AR24" s="150"/>
      <c r="AS24" s="75">
        <f t="shared" si="11"/>
        <v>22</v>
      </c>
      <c r="AT24" s="54">
        <v>11.1</v>
      </c>
      <c r="AU24" s="55">
        <v>40</v>
      </c>
      <c r="AV24" s="150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50"/>
      <c r="E25" s="75">
        <f t="shared" si="1"/>
        <v>23</v>
      </c>
      <c r="F25" s="54">
        <v>10.199999999999999</v>
      </c>
      <c r="G25" s="55">
        <v>20</v>
      </c>
      <c r="H25" s="150"/>
      <c r="I25" s="75">
        <f t="shared" si="2"/>
        <v>23</v>
      </c>
      <c r="J25" s="54">
        <v>10.86</v>
      </c>
      <c r="K25" s="55">
        <v>5</v>
      </c>
      <c r="L25" s="150"/>
      <c r="M25" s="75">
        <f t="shared" si="3"/>
        <v>23</v>
      </c>
      <c r="N25" s="54">
        <v>18.2</v>
      </c>
      <c r="O25" s="55">
        <v>80</v>
      </c>
      <c r="P25" s="150"/>
      <c r="Q25" s="75">
        <f t="shared" si="4"/>
        <v>23</v>
      </c>
      <c r="R25" s="54">
        <v>66.599999999999994</v>
      </c>
      <c r="S25" s="55">
        <v>130</v>
      </c>
      <c r="T25" s="150"/>
      <c r="U25" s="75">
        <f t="shared" si="5"/>
        <v>23</v>
      </c>
      <c r="V25" s="54">
        <v>45.3</v>
      </c>
      <c r="W25" s="55">
        <v>288</v>
      </c>
      <c r="X25" s="150"/>
      <c r="Y25" s="75">
        <f t="shared" si="6"/>
        <v>23</v>
      </c>
      <c r="Z25" s="54">
        <v>25.890000000000004</v>
      </c>
      <c r="AA25" s="55">
        <v>70</v>
      </c>
      <c r="AB25" s="150"/>
      <c r="AC25" s="75">
        <f t="shared" si="7"/>
        <v>23</v>
      </c>
      <c r="AD25" s="54">
        <v>15</v>
      </c>
      <c r="AE25" s="55">
        <v>55</v>
      </c>
      <c r="AF25" s="150"/>
      <c r="AG25" s="75">
        <f t="shared" si="8"/>
        <v>23</v>
      </c>
      <c r="AH25" s="54">
        <v>10</v>
      </c>
      <c r="AI25" s="55">
        <v>30</v>
      </c>
      <c r="AJ25" s="150"/>
      <c r="AK25" s="75">
        <f t="shared" si="9"/>
        <v>23</v>
      </c>
      <c r="AL25" s="54">
        <v>10.6</v>
      </c>
      <c r="AM25" s="55">
        <v>350</v>
      </c>
      <c r="AN25" s="150"/>
      <c r="AO25" s="75">
        <f t="shared" si="10"/>
        <v>23</v>
      </c>
      <c r="AP25" s="54">
        <v>10</v>
      </c>
      <c r="AQ25" s="55">
        <v>30</v>
      </c>
      <c r="AR25" s="150"/>
      <c r="AS25" s="75">
        <f t="shared" si="11"/>
        <v>23</v>
      </c>
      <c r="AT25" s="54">
        <v>10</v>
      </c>
      <c r="AU25" s="55">
        <v>3</v>
      </c>
      <c r="AV25" s="150"/>
      <c r="AW25" s="67"/>
    </row>
    <row r="26" spans="1:49" s="49" customFormat="1" ht="11.25" x14ac:dyDescent="0.2">
      <c r="A26" s="73">
        <f t="shared" si="0"/>
        <v>24</v>
      </c>
      <c r="B26" s="54">
        <v>9</v>
      </c>
      <c r="C26" s="55">
        <v>45</v>
      </c>
      <c r="D26" s="150"/>
      <c r="E26" s="75">
        <f t="shared" si="1"/>
        <v>24</v>
      </c>
      <c r="F26" s="54">
        <v>7.1</v>
      </c>
      <c r="G26" s="55">
        <v>20</v>
      </c>
      <c r="H26" s="150"/>
      <c r="I26" s="75">
        <f t="shared" si="2"/>
        <v>24</v>
      </c>
      <c r="J26" s="54">
        <v>10.86</v>
      </c>
      <c r="K26" s="55">
        <v>5</v>
      </c>
      <c r="L26" s="150"/>
      <c r="M26" s="75">
        <f t="shared" si="3"/>
        <v>24</v>
      </c>
      <c r="N26" s="54">
        <v>14.23</v>
      </c>
      <c r="O26" s="55">
        <v>157</v>
      </c>
      <c r="P26" s="150"/>
      <c r="Q26" s="75">
        <f t="shared" si="4"/>
        <v>24</v>
      </c>
      <c r="R26" s="54">
        <v>20.399999999999999</v>
      </c>
      <c r="S26" s="55">
        <v>380</v>
      </c>
      <c r="T26" s="150"/>
      <c r="U26" s="75">
        <f t="shared" si="5"/>
        <v>24</v>
      </c>
      <c r="V26" s="54">
        <v>36.799999999999997</v>
      </c>
      <c r="W26" s="55">
        <v>458</v>
      </c>
      <c r="X26" s="150"/>
      <c r="Y26" s="75">
        <f t="shared" si="6"/>
        <v>24</v>
      </c>
      <c r="Z26" s="54">
        <v>10.5</v>
      </c>
      <c r="AA26" s="55">
        <v>20</v>
      </c>
      <c r="AB26" s="150"/>
      <c r="AC26" s="75">
        <f t="shared" si="7"/>
        <v>24</v>
      </c>
      <c r="AD26" s="54">
        <v>43.96</v>
      </c>
      <c r="AE26" s="55">
        <v>429</v>
      </c>
      <c r="AF26" s="150"/>
      <c r="AG26" s="75">
        <f t="shared" si="8"/>
        <v>24</v>
      </c>
      <c r="AH26" s="54">
        <v>16.259999999999998</v>
      </c>
      <c r="AI26" s="55">
        <v>92</v>
      </c>
      <c r="AJ26" s="150"/>
      <c r="AK26" s="75">
        <f t="shared" si="9"/>
        <v>24</v>
      </c>
      <c r="AL26" s="54">
        <v>77.539999999999992</v>
      </c>
      <c r="AM26" s="55">
        <v>193</v>
      </c>
      <c r="AN26" s="150"/>
      <c r="AO26" s="75">
        <f t="shared" si="10"/>
        <v>24</v>
      </c>
      <c r="AP26" s="54">
        <v>10</v>
      </c>
      <c r="AQ26" s="55">
        <v>30</v>
      </c>
      <c r="AR26" s="150"/>
      <c r="AS26" s="75">
        <f t="shared" si="11"/>
        <v>24</v>
      </c>
      <c r="AT26" s="54">
        <v>20</v>
      </c>
      <c r="AU26" s="55">
        <v>30</v>
      </c>
      <c r="AV26" s="150"/>
      <c r="AW26" s="67"/>
    </row>
    <row r="27" spans="1:49" s="49" customFormat="1" ht="11.25" x14ac:dyDescent="0.2">
      <c r="A27" s="73">
        <f t="shared" si="0"/>
        <v>25</v>
      </c>
      <c r="B27" s="54">
        <v>16.3</v>
      </c>
      <c r="C27" s="55">
        <v>80</v>
      </c>
      <c r="D27" s="150"/>
      <c r="E27" s="75">
        <f t="shared" si="1"/>
        <v>25</v>
      </c>
      <c r="F27" s="54">
        <v>16</v>
      </c>
      <c r="G27" s="55">
        <v>96</v>
      </c>
      <c r="H27" s="150"/>
      <c r="I27" s="75">
        <f t="shared" si="2"/>
        <v>25</v>
      </c>
      <c r="J27" s="54"/>
      <c r="K27" s="55"/>
      <c r="L27" s="150"/>
      <c r="M27" s="75">
        <f t="shared" si="3"/>
        <v>25</v>
      </c>
      <c r="N27" s="54">
        <v>18.309999999999999</v>
      </c>
      <c r="O27" s="55">
        <v>355</v>
      </c>
      <c r="P27" s="150"/>
      <c r="Q27" s="75">
        <f t="shared" si="4"/>
        <v>25</v>
      </c>
      <c r="R27" s="54">
        <v>42</v>
      </c>
      <c r="S27" s="55">
        <v>435</v>
      </c>
      <c r="T27" s="150"/>
      <c r="U27" s="75">
        <f t="shared" si="5"/>
        <v>25</v>
      </c>
      <c r="V27" s="54">
        <v>36.4</v>
      </c>
      <c r="W27" s="55">
        <v>405</v>
      </c>
      <c r="X27" s="150"/>
      <c r="Y27" s="75">
        <f t="shared" si="6"/>
        <v>25</v>
      </c>
      <c r="Z27" s="54">
        <v>51.75</v>
      </c>
      <c r="AA27" s="55">
        <v>328</v>
      </c>
      <c r="AB27" s="150"/>
      <c r="AC27" s="75">
        <f t="shared" si="7"/>
        <v>25</v>
      </c>
      <c r="AD27" s="54">
        <v>22.83</v>
      </c>
      <c r="AE27" s="55">
        <v>172</v>
      </c>
      <c r="AF27" s="150"/>
      <c r="AG27" s="75">
        <f t="shared" si="8"/>
        <v>25</v>
      </c>
      <c r="AH27" s="54">
        <v>10</v>
      </c>
      <c r="AI27" s="55">
        <v>340</v>
      </c>
      <c r="AJ27" s="150"/>
      <c r="AK27" s="75">
        <f t="shared" si="9"/>
        <v>25</v>
      </c>
      <c r="AL27" s="54">
        <v>52.69</v>
      </c>
      <c r="AM27" s="55">
        <v>280</v>
      </c>
      <c r="AN27" s="150"/>
      <c r="AO27" s="75">
        <f t="shared" si="10"/>
        <v>25</v>
      </c>
      <c r="AP27" s="54">
        <v>11.5</v>
      </c>
      <c r="AQ27" s="55">
        <v>30</v>
      </c>
      <c r="AR27" s="150"/>
      <c r="AS27" s="75">
        <f t="shared" si="11"/>
        <v>25</v>
      </c>
      <c r="AT27" s="54">
        <v>10.7</v>
      </c>
      <c r="AU27" s="55">
        <v>215</v>
      </c>
      <c r="AV27" s="150"/>
      <c r="AW27" s="67"/>
    </row>
    <row r="28" spans="1:49" s="49" customFormat="1" ht="11.25" x14ac:dyDescent="0.2">
      <c r="A28" s="73">
        <f t="shared" si="0"/>
        <v>26</v>
      </c>
      <c r="B28" s="54">
        <v>10</v>
      </c>
      <c r="C28" s="55">
        <v>20</v>
      </c>
      <c r="D28" s="150"/>
      <c r="E28" s="75">
        <f t="shared" si="1"/>
        <v>26</v>
      </c>
      <c r="F28" s="54">
        <v>12.35</v>
      </c>
      <c r="G28" s="55">
        <v>32</v>
      </c>
      <c r="H28" s="150"/>
      <c r="I28" s="75">
        <f t="shared" si="2"/>
        <v>26</v>
      </c>
      <c r="J28" s="54">
        <v>11.399999999999999</v>
      </c>
      <c r="K28" s="55">
        <v>40</v>
      </c>
      <c r="L28" s="150"/>
      <c r="M28" s="75">
        <f t="shared" si="3"/>
        <v>26</v>
      </c>
      <c r="N28" s="54">
        <v>38.6</v>
      </c>
      <c r="O28" s="55">
        <v>750</v>
      </c>
      <c r="P28" s="150"/>
      <c r="Q28" s="75">
        <f t="shared" si="4"/>
        <v>26</v>
      </c>
      <c r="R28" s="54">
        <v>22.83</v>
      </c>
      <c r="S28" s="55">
        <v>172</v>
      </c>
      <c r="T28" s="150"/>
      <c r="U28" s="75">
        <f t="shared" si="5"/>
        <v>26</v>
      </c>
      <c r="V28" s="54">
        <v>19.5</v>
      </c>
      <c r="W28" s="55">
        <v>450</v>
      </c>
      <c r="X28" s="150"/>
      <c r="Y28" s="75">
        <f t="shared" si="6"/>
        <v>26</v>
      </c>
      <c r="Z28" s="54">
        <v>31.7</v>
      </c>
      <c r="AA28" s="55">
        <v>150</v>
      </c>
      <c r="AB28" s="150"/>
      <c r="AC28" s="75">
        <f t="shared" si="7"/>
        <v>26</v>
      </c>
      <c r="AD28" s="54">
        <v>12</v>
      </c>
      <c r="AE28" s="55">
        <v>25</v>
      </c>
      <c r="AF28" s="150"/>
      <c r="AG28" s="75">
        <f t="shared" si="8"/>
        <v>26</v>
      </c>
      <c r="AH28" s="54">
        <v>53.419999999999987</v>
      </c>
      <c r="AI28" s="55">
        <v>380</v>
      </c>
      <c r="AJ28" s="150"/>
      <c r="AK28" s="75">
        <f t="shared" si="9"/>
        <v>26</v>
      </c>
      <c r="AL28" s="54">
        <v>10.26</v>
      </c>
      <c r="AM28" s="55">
        <v>72</v>
      </c>
      <c r="AN28" s="150"/>
      <c r="AO28" s="75">
        <f t="shared" si="10"/>
        <v>26</v>
      </c>
      <c r="AP28" s="54"/>
      <c r="AQ28" s="55"/>
      <c r="AR28" s="150"/>
      <c r="AS28" s="75">
        <f t="shared" si="11"/>
        <v>26</v>
      </c>
      <c r="AT28" s="54">
        <v>44.61</v>
      </c>
      <c r="AU28" s="55">
        <v>185</v>
      </c>
      <c r="AV28" s="150"/>
      <c r="AW28" s="67"/>
    </row>
    <row r="29" spans="1:49" s="49" customFormat="1" ht="11.25" x14ac:dyDescent="0.2">
      <c r="A29" s="73">
        <f t="shared" si="0"/>
        <v>27</v>
      </c>
      <c r="B29" s="54">
        <v>7</v>
      </c>
      <c r="C29" s="55">
        <v>50</v>
      </c>
      <c r="D29" s="150"/>
      <c r="E29" s="75">
        <f t="shared" si="1"/>
        <v>27</v>
      </c>
      <c r="F29" s="54">
        <v>11.8</v>
      </c>
      <c r="G29" s="55">
        <v>40</v>
      </c>
      <c r="H29" s="150"/>
      <c r="I29" s="75">
        <f t="shared" si="2"/>
        <v>27</v>
      </c>
      <c r="J29" s="54">
        <v>19.2</v>
      </c>
      <c r="K29" s="55">
        <v>10</v>
      </c>
      <c r="L29" s="150"/>
      <c r="M29" s="75">
        <f t="shared" si="3"/>
        <v>27</v>
      </c>
      <c r="N29" s="54">
        <v>11.8</v>
      </c>
      <c r="O29" s="55">
        <v>20</v>
      </c>
      <c r="P29" s="150"/>
      <c r="Q29" s="75">
        <f t="shared" si="4"/>
        <v>27</v>
      </c>
      <c r="R29" s="54">
        <v>15.3</v>
      </c>
      <c r="S29" s="55">
        <v>40</v>
      </c>
      <c r="T29" s="150"/>
      <c r="U29" s="75">
        <f t="shared" si="5"/>
        <v>27</v>
      </c>
      <c r="V29" s="54">
        <v>35</v>
      </c>
      <c r="W29" s="55">
        <v>400</v>
      </c>
      <c r="X29" s="150"/>
      <c r="Y29" s="75">
        <f t="shared" si="6"/>
        <v>27</v>
      </c>
      <c r="Z29" s="54">
        <v>19.150000000000002</v>
      </c>
      <c r="AA29" s="55">
        <v>52</v>
      </c>
      <c r="AB29" s="150"/>
      <c r="AC29" s="75">
        <f t="shared" si="7"/>
        <v>27</v>
      </c>
      <c r="AD29" s="54">
        <v>10.5</v>
      </c>
      <c r="AE29" s="55">
        <v>30</v>
      </c>
      <c r="AF29" s="150"/>
      <c r="AG29" s="75">
        <f t="shared" si="8"/>
        <v>27</v>
      </c>
      <c r="AH29" s="54">
        <v>63.83</v>
      </c>
      <c r="AI29" s="55">
        <v>223</v>
      </c>
      <c r="AJ29" s="150"/>
      <c r="AK29" s="75">
        <f t="shared" si="9"/>
        <v>27</v>
      </c>
      <c r="AL29" s="54">
        <v>8.26</v>
      </c>
      <c r="AM29" s="55">
        <v>70</v>
      </c>
      <c r="AN29" s="150"/>
      <c r="AO29" s="75">
        <f t="shared" si="10"/>
        <v>27</v>
      </c>
      <c r="AP29" s="54">
        <v>24.89</v>
      </c>
      <c r="AQ29" s="55">
        <v>25</v>
      </c>
      <c r="AR29" s="150"/>
      <c r="AS29" s="75">
        <f t="shared" si="11"/>
        <v>27</v>
      </c>
      <c r="AT29" s="54">
        <v>50</v>
      </c>
      <c r="AU29" s="55">
        <v>45</v>
      </c>
      <c r="AV29" s="150"/>
      <c r="AW29" s="67"/>
    </row>
    <row r="30" spans="1:49" s="49" customFormat="1" ht="11.25" x14ac:dyDescent="0.2">
      <c r="A30" s="73">
        <f t="shared" si="0"/>
        <v>28</v>
      </c>
      <c r="B30" s="54">
        <v>10</v>
      </c>
      <c r="C30" s="55">
        <v>20</v>
      </c>
      <c r="D30" s="150"/>
      <c r="E30" s="75">
        <f t="shared" si="1"/>
        <v>28</v>
      </c>
      <c r="F30" s="54">
        <v>26.5</v>
      </c>
      <c r="G30" s="55">
        <v>130</v>
      </c>
      <c r="H30" s="150"/>
      <c r="I30" s="75">
        <f t="shared" si="2"/>
        <v>28</v>
      </c>
      <c r="J30" s="54">
        <v>38.700000000000003</v>
      </c>
      <c r="K30" s="55">
        <v>1018</v>
      </c>
      <c r="L30" s="150"/>
      <c r="M30" s="75">
        <f t="shared" si="3"/>
        <v>28</v>
      </c>
      <c r="N30" s="54">
        <v>19.2</v>
      </c>
      <c r="O30" s="55">
        <v>30</v>
      </c>
      <c r="P30" s="150"/>
      <c r="Q30" s="75">
        <f t="shared" si="4"/>
        <v>28</v>
      </c>
      <c r="R30" s="54">
        <v>32.159999999999997</v>
      </c>
      <c r="S30" s="55">
        <v>25</v>
      </c>
      <c r="T30" s="150"/>
      <c r="U30" s="75">
        <f t="shared" si="5"/>
        <v>28</v>
      </c>
      <c r="V30" s="54">
        <v>111.31</v>
      </c>
      <c r="W30" s="55">
        <v>1460</v>
      </c>
      <c r="X30" s="150"/>
      <c r="Y30" s="75">
        <f t="shared" si="6"/>
        <v>28</v>
      </c>
      <c r="Z30" s="54">
        <v>17.149999999999999</v>
      </c>
      <c r="AA30" s="55">
        <v>57</v>
      </c>
      <c r="AB30" s="150"/>
      <c r="AC30" s="75">
        <f t="shared" si="7"/>
        <v>28</v>
      </c>
      <c r="AD30" s="54"/>
      <c r="AE30" s="55"/>
      <c r="AF30" s="150"/>
      <c r="AG30" s="75">
        <f t="shared" si="8"/>
        <v>28</v>
      </c>
      <c r="AH30" s="54">
        <v>10</v>
      </c>
      <c r="AI30" s="55">
        <v>30</v>
      </c>
      <c r="AJ30" s="150"/>
      <c r="AK30" s="75">
        <f t="shared" si="9"/>
        <v>28</v>
      </c>
      <c r="AL30" s="54">
        <v>19.2</v>
      </c>
      <c r="AM30" s="55">
        <v>30</v>
      </c>
      <c r="AN30" s="150"/>
      <c r="AO30" s="75">
        <f t="shared" si="10"/>
        <v>28</v>
      </c>
      <c r="AP30" s="54">
        <v>41.599999999999994</v>
      </c>
      <c r="AQ30" s="55">
        <v>53</v>
      </c>
      <c r="AR30" s="150"/>
      <c r="AS30" s="75">
        <f t="shared" si="11"/>
        <v>28</v>
      </c>
      <c r="AT30" s="54">
        <v>11.1</v>
      </c>
      <c r="AU30" s="55">
        <v>40</v>
      </c>
      <c r="AV30" s="150"/>
      <c r="AW30" s="67"/>
    </row>
    <row r="31" spans="1:49" s="49" customFormat="1" ht="11.25" x14ac:dyDescent="0.2">
      <c r="A31" s="73">
        <f t="shared" si="0"/>
        <v>29</v>
      </c>
      <c r="B31" s="54">
        <v>15.3</v>
      </c>
      <c r="C31" s="55">
        <v>50</v>
      </c>
      <c r="D31" s="150"/>
      <c r="E31" s="75"/>
      <c r="F31" s="54"/>
      <c r="G31" s="55"/>
      <c r="H31" s="150"/>
      <c r="I31" s="75">
        <f t="shared" si="2"/>
        <v>29</v>
      </c>
      <c r="J31" s="54"/>
      <c r="K31" s="55"/>
      <c r="L31" s="150"/>
      <c r="M31" s="75">
        <f t="shared" si="3"/>
        <v>29</v>
      </c>
      <c r="N31" s="54">
        <v>20.2</v>
      </c>
      <c r="O31" s="55">
        <v>30</v>
      </c>
      <c r="P31" s="150"/>
      <c r="Q31" s="75">
        <f t="shared" si="4"/>
        <v>29</v>
      </c>
      <c r="R31" s="54">
        <v>10</v>
      </c>
      <c r="S31" s="55">
        <v>340</v>
      </c>
      <c r="T31" s="150"/>
      <c r="U31" s="75">
        <f t="shared" si="5"/>
        <v>29</v>
      </c>
      <c r="V31" s="54">
        <v>10.66</v>
      </c>
      <c r="W31" s="55">
        <v>90</v>
      </c>
      <c r="X31" s="150"/>
      <c r="Y31" s="75">
        <f t="shared" si="6"/>
        <v>29</v>
      </c>
      <c r="Z31" s="54">
        <v>21.1</v>
      </c>
      <c r="AA31" s="55">
        <v>57</v>
      </c>
      <c r="AB31" s="150"/>
      <c r="AC31" s="75">
        <f t="shared" si="7"/>
        <v>29</v>
      </c>
      <c r="AD31" s="54">
        <v>41.89</v>
      </c>
      <c r="AE31" s="55">
        <v>655</v>
      </c>
      <c r="AF31" s="150"/>
      <c r="AG31" s="75">
        <f t="shared" si="8"/>
        <v>29</v>
      </c>
      <c r="AH31" s="54">
        <v>10.66</v>
      </c>
      <c r="AI31" s="55">
        <v>30</v>
      </c>
      <c r="AJ31" s="150"/>
      <c r="AK31" s="75">
        <f t="shared" si="9"/>
        <v>29</v>
      </c>
      <c r="AL31" s="54">
        <v>11</v>
      </c>
      <c r="AM31" s="55">
        <v>50</v>
      </c>
      <c r="AN31" s="150"/>
      <c r="AO31" s="75">
        <f t="shared" si="10"/>
        <v>29</v>
      </c>
      <c r="AP31" s="54"/>
      <c r="AQ31" s="55"/>
      <c r="AR31" s="150">
        <v>2.2916666666666669E-2</v>
      </c>
      <c r="AS31" s="75">
        <f t="shared" si="11"/>
        <v>29</v>
      </c>
      <c r="AT31" s="54">
        <v>12.5</v>
      </c>
      <c r="AU31" s="55">
        <v>30</v>
      </c>
      <c r="AV31" s="150"/>
      <c r="AW31" s="67"/>
    </row>
    <row r="32" spans="1:49" s="49" customFormat="1" ht="11.25" x14ac:dyDescent="0.2">
      <c r="A32" s="73">
        <f t="shared" si="0"/>
        <v>30</v>
      </c>
      <c r="B32" s="54">
        <v>8.6999999999999993</v>
      </c>
      <c r="C32" s="55">
        <v>220</v>
      </c>
      <c r="D32" s="150"/>
      <c r="E32" s="75"/>
      <c r="F32" s="54"/>
      <c r="G32" s="55"/>
      <c r="H32" s="150"/>
      <c r="I32" s="75">
        <f t="shared" si="2"/>
        <v>30</v>
      </c>
      <c r="J32" s="54">
        <v>10.199999999999999</v>
      </c>
      <c r="K32" s="55">
        <v>20</v>
      </c>
      <c r="L32" s="150"/>
      <c r="M32" s="75">
        <f t="shared" si="3"/>
        <v>30</v>
      </c>
      <c r="N32" s="54">
        <v>21.6</v>
      </c>
      <c r="O32" s="55">
        <v>60</v>
      </c>
      <c r="P32" s="150"/>
      <c r="Q32" s="75">
        <f t="shared" si="4"/>
        <v>30</v>
      </c>
      <c r="R32" s="54">
        <v>27</v>
      </c>
      <c r="S32" s="55">
        <v>115</v>
      </c>
      <c r="T32" s="150"/>
      <c r="U32" s="75">
        <f t="shared" si="5"/>
        <v>30</v>
      </c>
      <c r="V32" s="54">
        <v>11</v>
      </c>
      <c r="W32" s="55">
        <v>20</v>
      </c>
      <c r="X32" s="150"/>
      <c r="Y32" s="75">
        <f t="shared" si="6"/>
        <v>30</v>
      </c>
      <c r="Z32" s="54">
        <v>24.66</v>
      </c>
      <c r="AA32" s="55">
        <v>25</v>
      </c>
      <c r="AB32" s="150"/>
      <c r="AC32" s="75">
        <f t="shared" si="7"/>
        <v>30</v>
      </c>
      <c r="AD32" s="54">
        <v>86.460000000000008</v>
      </c>
      <c r="AE32" s="55">
        <v>1311</v>
      </c>
      <c r="AF32" s="150"/>
      <c r="AG32" s="75">
        <f t="shared" si="8"/>
        <v>30</v>
      </c>
      <c r="AH32" s="54">
        <v>15</v>
      </c>
      <c r="AI32" s="55">
        <v>50</v>
      </c>
      <c r="AJ32" s="150"/>
      <c r="AK32" s="75">
        <f t="shared" si="9"/>
        <v>30</v>
      </c>
      <c r="AL32" s="54">
        <v>10.6</v>
      </c>
      <c r="AM32" s="55">
        <v>350</v>
      </c>
      <c r="AN32" s="150"/>
      <c r="AO32" s="75">
        <f t="shared" si="10"/>
        <v>30</v>
      </c>
      <c r="AP32" s="54">
        <v>10</v>
      </c>
      <c r="AQ32" s="55">
        <v>5</v>
      </c>
      <c r="AR32" s="150"/>
      <c r="AS32" s="75">
        <f t="shared" si="11"/>
        <v>30</v>
      </c>
      <c r="AT32" s="54">
        <v>24.66</v>
      </c>
      <c r="AU32" s="55">
        <v>25</v>
      </c>
      <c r="AV32" s="150"/>
      <c r="AW32" s="67"/>
    </row>
    <row r="33" spans="1:49" s="49" customFormat="1" ht="11.25" x14ac:dyDescent="0.2">
      <c r="A33" s="74">
        <f t="shared" si="0"/>
        <v>31</v>
      </c>
      <c r="B33" s="62">
        <v>31.4</v>
      </c>
      <c r="C33" s="63">
        <v>120</v>
      </c>
      <c r="D33" s="151"/>
      <c r="E33" s="76"/>
      <c r="F33" s="62"/>
      <c r="G33" s="63"/>
      <c r="H33" s="151"/>
      <c r="I33" s="76">
        <f t="shared" si="2"/>
        <v>31</v>
      </c>
      <c r="J33" s="62"/>
      <c r="K33" s="63"/>
      <c r="L33" s="151"/>
      <c r="M33" s="76"/>
      <c r="N33" s="62"/>
      <c r="O33" s="63"/>
      <c r="P33" s="151"/>
      <c r="Q33" s="76">
        <f t="shared" si="4"/>
        <v>31</v>
      </c>
      <c r="R33" s="62">
        <v>108.5</v>
      </c>
      <c r="S33" s="63">
        <v>1347</v>
      </c>
      <c r="T33" s="151"/>
      <c r="U33" s="76"/>
      <c r="V33" s="62"/>
      <c r="W33" s="63"/>
      <c r="X33" s="151"/>
      <c r="Y33" s="76">
        <f t="shared" si="6"/>
        <v>31</v>
      </c>
      <c r="Z33" s="62">
        <v>29.81</v>
      </c>
      <c r="AA33" s="63">
        <v>187</v>
      </c>
      <c r="AB33" s="151"/>
      <c r="AC33" s="76">
        <f t="shared" si="7"/>
        <v>31</v>
      </c>
      <c r="AD33" s="62">
        <v>10</v>
      </c>
      <c r="AE33" s="63">
        <v>40</v>
      </c>
      <c r="AF33" s="151"/>
      <c r="AG33" s="76"/>
      <c r="AH33" s="62"/>
      <c r="AI33" s="63"/>
      <c r="AJ33" s="151"/>
      <c r="AK33" s="76">
        <f t="shared" si="9"/>
        <v>31</v>
      </c>
      <c r="AL33" s="62">
        <v>27.46</v>
      </c>
      <c r="AM33" s="63">
        <v>100</v>
      </c>
      <c r="AN33" s="151"/>
      <c r="AO33" s="76"/>
      <c r="AP33" s="62"/>
      <c r="AQ33" s="63"/>
      <c r="AR33" s="151"/>
      <c r="AS33" s="76">
        <f t="shared" si="11"/>
        <v>31</v>
      </c>
      <c r="AT33" s="62">
        <v>20</v>
      </c>
      <c r="AU33" s="63">
        <v>60</v>
      </c>
      <c r="AV33" s="151"/>
      <c r="AW33" s="67"/>
    </row>
    <row r="34" spans="1:49" s="49" customFormat="1" ht="11.25" x14ac:dyDescent="0.2">
      <c r="A34" s="45" t="s">
        <v>92</v>
      </c>
      <c r="B34" s="47">
        <f>SUM(B3:B33)</f>
        <v>382.29</v>
      </c>
      <c r="C34" s="48">
        <f>SUM(C3:C33)</f>
        <v>4623</v>
      </c>
      <c r="D34" s="79">
        <f>(SUM(D3:D33)/D39)*C39</f>
        <v>0</v>
      </c>
      <c r="E34" s="65"/>
      <c r="F34" s="47">
        <f>SUM(F3:F33)</f>
        <v>360.97</v>
      </c>
      <c r="G34" s="48">
        <f>SUM(G3:G33)</f>
        <v>2777</v>
      </c>
      <c r="H34" s="79">
        <f>(SUM(H3:H33)/D39)*C39</f>
        <v>16</v>
      </c>
      <c r="I34" s="65"/>
      <c r="J34" s="47">
        <f>SUM(J3:J33)</f>
        <v>509.1099999999999</v>
      </c>
      <c r="K34" s="48">
        <f>SUM(K3:K33)</f>
        <v>4331</v>
      </c>
      <c r="L34" s="79">
        <f>(SUM(L3:L33)/D39)*C39</f>
        <v>0</v>
      </c>
      <c r="M34" s="77"/>
      <c r="N34" s="47">
        <f>SUM(N3:N33)</f>
        <v>711.51</v>
      </c>
      <c r="O34" s="48">
        <f>SUM(O3:O33)</f>
        <v>6486</v>
      </c>
      <c r="P34" s="79">
        <f>(SUM(P3:P33)/D39)*C39</f>
        <v>39.6</v>
      </c>
      <c r="Q34" s="65"/>
      <c r="R34" s="47">
        <f>SUM(R3:R33)</f>
        <v>1042.1100000000001</v>
      </c>
      <c r="S34" s="48">
        <f>SUM(S3:S33)</f>
        <v>8658</v>
      </c>
      <c r="T34" s="79">
        <f>(SUM(T3:T33)/D39)*C39</f>
        <v>12</v>
      </c>
      <c r="U34" s="65"/>
      <c r="V34" s="47">
        <f>SUM(V3:V33)</f>
        <v>974.87999999999977</v>
      </c>
      <c r="W34" s="48">
        <f>SUM(W3:W33)</f>
        <v>8968</v>
      </c>
      <c r="X34" s="79">
        <f>(SUM(X3:X33)/D39)*C39</f>
        <v>0</v>
      </c>
      <c r="Y34" s="65"/>
      <c r="Z34" s="47">
        <f>SUM(Z3:Z33)</f>
        <v>700.1099999999999</v>
      </c>
      <c r="AA34" s="48">
        <f>SUM(AA3:AA33)</f>
        <v>4917</v>
      </c>
      <c r="AB34" s="79">
        <f>(SUM(AB3:AB33)/D39)*C39</f>
        <v>0</v>
      </c>
      <c r="AC34" s="65"/>
      <c r="AD34" s="47">
        <f>SUM(AD3:AD33)</f>
        <v>738.99000000000012</v>
      </c>
      <c r="AE34" s="48">
        <f>SUM(AE3:AE33)</f>
        <v>5847</v>
      </c>
      <c r="AF34" s="79">
        <f>(SUM(AF3:AF33)/D39)*C39</f>
        <v>0</v>
      </c>
      <c r="AG34" s="65"/>
      <c r="AH34" s="54">
        <f>SUM(AH3:AH33)</f>
        <v>552.03</v>
      </c>
      <c r="AI34" s="48">
        <f>SUM(AI3:AI33)</f>
        <v>4285</v>
      </c>
      <c r="AJ34" s="79">
        <f>(SUM(AJ3:AJ33)/D39)*C39</f>
        <v>0</v>
      </c>
      <c r="AK34" s="65"/>
      <c r="AL34" s="47">
        <f>SUM(AL3:AL33)</f>
        <v>654.53000000000009</v>
      </c>
      <c r="AM34" s="48">
        <f>SUM(AM3:AM33)</f>
        <v>3992</v>
      </c>
      <c r="AN34" s="79">
        <f>(SUM(AN3:AN33)/D39)*C39</f>
        <v>0</v>
      </c>
      <c r="AO34" s="65"/>
      <c r="AP34" s="47">
        <f>SUM(AP3:AP33)</f>
        <v>593.42000000000007</v>
      </c>
      <c r="AQ34" s="48">
        <f>SUM(AQ3:AQ33)</f>
        <v>5204</v>
      </c>
      <c r="AR34" s="79">
        <f>(SUM(AR3:AR33)/D39)*C39</f>
        <v>13.200000000000001</v>
      </c>
      <c r="AS34" s="65"/>
      <c r="AT34" s="47">
        <f>SUM(AT3:AT33)</f>
        <v>583.04</v>
      </c>
      <c r="AU34" s="48">
        <f>SUM(AU3:AU33)</f>
        <v>2662</v>
      </c>
      <c r="AV34" s="79">
        <f>(SUM(AV3:AV33)/D39)*C39</f>
        <v>0</v>
      </c>
      <c r="AW34" s="67"/>
    </row>
    <row r="35" spans="1:49" s="52" customFormat="1" ht="11.25" x14ac:dyDescent="0.2">
      <c r="A35" s="46" t="s">
        <v>93</v>
      </c>
      <c r="B35" s="50">
        <f>B34</f>
        <v>382.29</v>
      </c>
      <c r="C35" s="51">
        <f>C34</f>
        <v>4623</v>
      </c>
      <c r="D35" s="80">
        <f>D34</f>
        <v>0</v>
      </c>
      <c r="E35" s="66"/>
      <c r="F35" s="50">
        <f>F34+B35</f>
        <v>743.26</v>
      </c>
      <c r="G35" s="51">
        <f>G34+C35</f>
        <v>7400</v>
      </c>
      <c r="H35" s="80">
        <f>H34+D35</f>
        <v>16</v>
      </c>
      <c r="I35" s="66"/>
      <c r="J35" s="50">
        <f>J34+F35</f>
        <v>1252.3699999999999</v>
      </c>
      <c r="K35" s="51">
        <f>K34+G35</f>
        <v>11731</v>
      </c>
      <c r="L35" s="80">
        <f>L34+H35</f>
        <v>16</v>
      </c>
      <c r="M35" s="66"/>
      <c r="N35" s="50">
        <f>N34+J35</f>
        <v>1963.8799999999999</v>
      </c>
      <c r="O35" s="51">
        <f>O34+K35</f>
        <v>18217</v>
      </c>
      <c r="P35" s="80">
        <f>P34+L35</f>
        <v>55.6</v>
      </c>
      <c r="Q35" s="66"/>
      <c r="R35" s="50">
        <f>R34+N35</f>
        <v>3005.99</v>
      </c>
      <c r="S35" s="51">
        <f>S34+O35</f>
        <v>26875</v>
      </c>
      <c r="T35" s="80">
        <f>T34+P35</f>
        <v>67.599999999999994</v>
      </c>
      <c r="U35" s="66"/>
      <c r="V35" s="50">
        <f>V34+R35</f>
        <v>3980.8699999999994</v>
      </c>
      <c r="W35" s="51">
        <f>W34+S35</f>
        <v>35843</v>
      </c>
      <c r="X35" s="80">
        <f>X34+T35</f>
        <v>67.599999999999994</v>
      </c>
      <c r="Y35" s="66"/>
      <c r="Z35" s="50">
        <f>Z34+V35</f>
        <v>4680.9799999999996</v>
      </c>
      <c r="AA35" s="51">
        <f>AA34+W35</f>
        <v>40760</v>
      </c>
      <c r="AB35" s="80">
        <f>AB34+X35</f>
        <v>67.599999999999994</v>
      </c>
      <c r="AC35" s="66"/>
      <c r="AD35" s="50">
        <f>AD34+Z35</f>
        <v>5419.9699999999993</v>
      </c>
      <c r="AE35" s="51">
        <f>AE34+AA35</f>
        <v>46607</v>
      </c>
      <c r="AF35" s="80">
        <f>AF34+AB35</f>
        <v>67.599999999999994</v>
      </c>
      <c r="AG35" s="66"/>
      <c r="AH35" s="86">
        <f>AH34+AD35</f>
        <v>5971.9999999999991</v>
      </c>
      <c r="AI35" s="51">
        <f>AI34+AE35</f>
        <v>50892</v>
      </c>
      <c r="AJ35" s="80">
        <f>AJ34+AF35</f>
        <v>67.599999999999994</v>
      </c>
      <c r="AK35" s="66"/>
      <c r="AL35" s="50">
        <f>AL34+AH35</f>
        <v>6626.5299999999988</v>
      </c>
      <c r="AM35" s="51">
        <f>AM34+AI35</f>
        <v>54884</v>
      </c>
      <c r="AN35" s="80">
        <f>AN34+AJ35</f>
        <v>67.599999999999994</v>
      </c>
      <c r="AO35" s="66"/>
      <c r="AP35" s="50">
        <f>AP34+AL35</f>
        <v>7219.9499999999989</v>
      </c>
      <c r="AQ35" s="51">
        <f>AQ34+AM35</f>
        <v>60088</v>
      </c>
      <c r="AR35" s="80">
        <f>AR34+AN35</f>
        <v>80.8</v>
      </c>
      <c r="AS35" s="66"/>
      <c r="AT35" s="50">
        <f>AT34+AP35</f>
        <v>7802.9899999999989</v>
      </c>
      <c r="AU35" s="51">
        <f>AU34+AQ35</f>
        <v>62750</v>
      </c>
      <c r="AV35" s="80">
        <f>AV34+AR35</f>
        <v>80.8</v>
      </c>
      <c r="AW35" s="92"/>
    </row>
    <row r="36" spans="1:49" s="49" customFormat="1" ht="11.25" x14ac:dyDescent="0.2">
      <c r="A36" s="49" t="s">
        <v>149</v>
      </c>
      <c r="B36" s="47">
        <f>MAX(B3:B33)</f>
        <v>31.4</v>
      </c>
      <c r="C36" s="55">
        <f>MAX(C3:C33)</f>
        <v>830</v>
      </c>
      <c r="D36" s="152">
        <f>MAX(D3:D33)</f>
        <v>0</v>
      </c>
      <c r="E36" s="67"/>
      <c r="F36" s="47">
        <f>MAX(F3:F33)</f>
        <v>26.5</v>
      </c>
      <c r="G36" s="55">
        <f>MAX(G3:G33)</f>
        <v>348</v>
      </c>
      <c r="H36" s="152">
        <f>MAX(H3:H33)</f>
        <v>2.7777777777777776E-2</v>
      </c>
      <c r="I36" s="67"/>
      <c r="J36" s="47">
        <f>MAX(J3:J33)</f>
        <v>70.38</v>
      </c>
      <c r="K36" s="55">
        <f>MAX(K3:K33)</f>
        <v>1018</v>
      </c>
      <c r="L36" s="152">
        <f>MAX(L3:L33)</f>
        <v>0</v>
      </c>
      <c r="M36" s="67"/>
      <c r="N36" s="47">
        <f>MAX(N3:N33)</f>
        <v>64.539999999999992</v>
      </c>
      <c r="O36" s="55">
        <f>MAX(O3:O33)</f>
        <v>1236</v>
      </c>
      <c r="P36" s="152">
        <f>MAX(P3:P33)</f>
        <v>4.4444444444444446E-2</v>
      </c>
      <c r="Q36" s="67"/>
      <c r="R36" s="47">
        <f>MAX(R3:R33)</f>
        <v>121.18</v>
      </c>
      <c r="S36" s="55">
        <f>MAX(S3:S33)</f>
        <v>1535</v>
      </c>
      <c r="T36" s="152">
        <f>MAX(T3:T33)</f>
        <v>2.0833333333333332E-2</v>
      </c>
      <c r="U36" s="67"/>
      <c r="V36" s="47">
        <f>MAX(V3:V33)</f>
        <v>111.31</v>
      </c>
      <c r="W36" s="55">
        <f>MAX(W3:W33)</f>
        <v>1460</v>
      </c>
      <c r="X36" s="152">
        <f>MAX(X3:X33)</f>
        <v>0</v>
      </c>
      <c r="Y36" s="67"/>
      <c r="Z36" s="47">
        <f>MAX(Z3:Z33)</f>
        <v>70.62</v>
      </c>
      <c r="AA36" s="55">
        <f>MAX(AA3:AA33)</f>
        <v>948</v>
      </c>
      <c r="AB36" s="152">
        <f>MAX(AB3:AB33)</f>
        <v>0</v>
      </c>
      <c r="AC36" s="67"/>
      <c r="AD36" s="47">
        <f>MAX(AD3:AD33)</f>
        <v>130</v>
      </c>
      <c r="AE36" s="55">
        <f>MAX(AE3:AE33)</f>
        <v>1311</v>
      </c>
      <c r="AF36" s="152">
        <f>MAX(AF3:AF33)</f>
        <v>0</v>
      </c>
      <c r="AG36" s="67"/>
      <c r="AH36" s="47">
        <f>MAX(AH3:AH33)</f>
        <v>63.83</v>
      </c>
      <c r="AI36" s="55">
        <f>MAX(AI3:AI33)</f>
        <v>755</v>
      </c>
      <c r="AJ36" s="152">
        <f>MAX(AJ3:AJ33)</f>
        <v>0</v>
      </c>
      <c r="AK36" s="67"/>
      <c r="AL36" s="47">
        <f>MAX(AL3:AL33)</f>
        <v>77.539999999999992</v>
      </c>
      <c r="AM36" s="55">
        <f>MAX(AM3:AM33)</f>
        <v>737</v>
      </c>
      <c r="AN36" s="152">
        <f>MAX(AN3:AN33)</f>
        <v>0</v>
      </c>
      <c r="AO36" s="67"/>
      <c r="AP36" s="47">
        <f>MAX(AP3:AP33)</f>
        <v>62.44</v>
      </c>
      <c r="AQ36" s="55">
        <f>MAX(AQ3:AQ33)</f>
        <v>1030</v>
      </c>
      <c r="AR36" s="152">
        <f>MAX(AR3:AR33)</f>
        <v>2.2916666666666669E-2</v>
      </c>
      <c r="AS36" s="67"/>
      <c r="AT36" s="47">
        <f>MAX(AT3:AT33)</f>
        <v>65.899999999999991</v>
      </c>
      <c r="AU36" s="55">
        <f>MAX(AU3:AU33)</f>
        <v>718</v>
      </c>
      <c r="AV36" s="152">
        <f>MAX(AV3:AV33)</f>
        <v>0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16.621304347826086</v>
      </c>
      <c r="C37" s="55">
        <f>IFERROR(AVERAGE(C3:C33),0)</f>
        <v>201</v>
      </c>
      <c r="D37" s="152">
        <f>IFERROR(AVERAGE(D3:D33),0)</f>
        <v>0</v>
      </c>
      <c r="E37" s="67"/>
      <c r="F37" s="54">
        <f>IFERROR(AVERAGE(F3:F33),0)</f>
        <v>13.369259259259261</v>
      </c>
      <c r="G37" s="55">
        <f>IFERROR(AVERAGE(G3:G33),0)</f>
        <v>102.85185185185185</v>
      </c>
      <c r="H37" s="152">
        <f>IFERROR(AVERAGE(H3:H33),0)</f>
        <v>2.7777777777777776E-2</v>
      </c>
      <c r="I37" s="67"/>
      <c r="J37" s="54">
        <f>IFERROR(AVERAGE(J3:J33),0)</f>
        <v>22.135217391304344</v>
      </c>
      <c r="K37" s="55">
        <f>IFERROR(AVERAGE(K3:K33),0)</f>
        <v>188.30434782608697</v>
      </c>
      <c r="L37" s="152">
        <f>IFERROR(AVERAGE(L3:L33),0)</f>
        <v>0</v>
      </c>
      <c r="M37" s="67"/>
      <c r="N37" s="54">
        <f>IFERROR(AVERAGE(N3:N33),0)</f>
        <v>26.35222222222222</v>
      </c>
      <c r="O37" s="55">
        <f>IFERROR(AVERAGE(O3:O33),0)</f>
        <v>240.22222222222223</v>
      </c>
      <c r="P37" s="152">
        <f>IFERROR(AVERAGE(P3:P33),0)</f>
        <v>3.4375000000000003E-2</v>
      </c>
      <c r="Q37" s="67"/>
      <c r="R37" s="54">
        <f>IFERROR(AVERAGE(R3:R33),0)</f>
        <v>33.616451612903226</v>
      </c>
      <c r="S37" s="55">
        <f>IFERROR(AVERAGE(S3:S33),0)</f>
        <v>279.29032258064518</v>
      </c>
      <c r="T37" s="152">
        <f>IFERROR(AVERAGE(T3:T33),0)</f>
        <v>2.0833333333333332E-2</v>
      </c>
      <c r="U37" s="67"/>
      <c r="V37" s="54">
        <f>IFERROR(AVERAGE(V3:V33),0)</f>
        <v>34.817142857142848</v>
      </c>
      <c r="W37" s="55">
        <f>IFERROR(AVERAGE(W3:W33),0)</f>
        <v>320.28571428571428</v>
      </c>
      <c r="X37" s="152">
        <f>IFERROR(AVERAGE(X3:X33),0)</f>
        <v>0</v>
      </c>
      <c r="Y37" s="67"/>
      <c r="Z37" s="54">
        <f>IFERROR(AVERAGE(Z3:Z33),0)</f>
        <v>22.584193548387095</v>
      </c>
      <c r="AA37" s="55">
        <f>IFERROR(AVERAGE(AA3:AA33),0)</f>
        <v>158.61290322580646</v>
      </c>
      <c r="AB37" s="152">
        <f>IFERROR(AVERAGE(AB3:AB33),0)</f>
        <v>0</v>
      </c>
      <c r="AC37" s="67"/>
      <c r="AD37" s="54">
        <f>IFERROR(AVERAGE(AD3:AD33),0)</f>
        <v>32.130000000000003</v>
      </c>
      <c r="AE37" s="55">
        <f>IFERROR(AVERAGE(AE3:AE33),0)</f>
        <v>254.21739130434781</v>
      </c>
      <c r="AF37" s="152">
        <f>IFERROR(AVERAGE(AF3:AF33),0)</f>
        <v>0</v>
      </c>
      <c r="AG37" s="67"/>
      <c r="AH37" s="54">
        <f>IFERROR(AVERAGE(AH3:AH33),0)</f>
        <v>21.231923076923074</v>
      </c>
      <c r="AI37" s="55">
        <f>IFERROR(AVERAGE(AI3:AI33),0)</f>
        <v>164.80769230769232</v>
      </c>
      <c r="AJ37" s="152">
        <f>IFERROR(AVERAGE(AJ3:AJ33),0)</f>
        <v>0</v>
      </c>
      <c r="AK37" s="67"/>
      <c r="AL37" s="54">
        <f>IFERROR(AVERAGE(AL3:AL33),0)</f>
        <v>21.113870967741939</v>
      </c>
      <c r="AM37" s="55">
        <f>IFERROR(AVERAGE(AM3:AM33),0)</f>
        <v>128.7741935483871</v>
      </c>
      <c r="AN37" s="152">
        <f>IFERROR(AVERAGE(AN3:AN33),0)</f>
        <v>0</v>
      </c>
      <c r="AO37" s="67"/>
      <c r="AP37" s="54">
        <f>IFERROR(AVERAGE(AP3:AP33),0)</f>
        <v>22.823846153846155</v>
      </c>
      <c r="AQ37" s="55">
        <f>IFERROR(AVERAGE(AQ3:AQ33),0)</f>
        <v>200.15384615384616</v>
      </c>
      <c r="AR37" s="152">
        <f>IFERROR(AVERAGE(AR3:AR33),0)</f>
        <v>2.2916666666666669E-2</v>
      </c>
      <c r="AS37" s="67"/>
      <c r="AT37" s="54">
        <f>IFERROR(AVERAGE(AT3:AT33),0)</f>
        <v>20.822857142857142</v>
      </c>
      <c r="AU37" s="55">
        <f>IFERROR(AVERAGE(AU3:AU33),0)</f>
        <v>95.071428571428569</v>
      </c>
      <c r="AV37" s="152">
        <f>IFERROR(AVERAGE(AV3:AV33),0)</f>
        <v>0</v>
      </c>
      <c r="AW37" s="67"/>
    </row>
    <row r="38" spans="1:49" s="49" customFormat="1" ht="11.25" x14ac:dyDescent="0.2">
      <c r="A38" s="49" t="s">
        <v>236</v>
      </c>
      <c r="B38" s="54">
        <f>B34-'14'!B34</f>
        <v>-163.97999999999996</v>
      </c>
      <c r="C38" s="78">
        <f>C34-'14'!C34</f>
        <v>-386</v>
      </c>
      <c r="D38" s="105">
        <f>IF(B34+D34=0,0,D34/(B34+D34))</f>
        <v>0</v>
      </c>
      <c r="E38" s="67"/>
      <c r="F38" s="54">
        <f>F34-'14'!F34</f>
        <v>-204.66000000000008</v>
      </c>
      <c r="G38" s="78">
        <f>G34-'14'!G34</f>
        <v>-2550</v>
      </c>
      <c r="H38" s="105">
        <f>IF(F34+H34=0,0,H34/(F34+H34))</f>
        <v>4.2443695784810456E-2</v>
      </c>
      <c r="I38" s="67"/>
      <c r="J38" s="54">
        <f>J34-'14'!J34</f>
        <v>-246.6400000000001</v>
      </c>
      <c r="K38" s="78">
        <f>K34-'14'!K34</f>
        <v>-2667</v>
      </c>
      <c r="L38" s="105">
        <f>IF(J34+L34=0,0,L34/(J34+L34))</f>
        <v>0</v>
      </c>
      <c r="M38" s="67"/>
      <c r="N38" s="54">
        <f>N34-'14'!N34</f>
        <v>45.234999999999786</v>
      </c>
      <c r="O38" s="78">
        <f>O34-'14'!O34</f>
        <v>-1620</v>
      </c>
      <c r="P38" s="105">
        <f>IF(N34+P34=0,0,P34/(N34+P34))</f>
        <v>5.2721971482206337E-2</v>
      </c>
      <c r="Q38" s="67"/>
      <c r="R38" s="54">
        <f>R34-'14'!R34</f>
        <v>251.72000000000014</v>
      </c>
      <c r="S38" s="78">
        <f>S34-'14'!S34</f>
        <v>31</v>
      </c>
      <c r="T38" s="105">
        <f>IF(R34+T34=0,0,T34/(R34+T34))</f>
        <v>1.1384011156330932E-2</v>
      </c>
      <c r="U38" s="67"/>
      <c r="V38" s="54">
        <f>V34-'14'!V34</f>
        <v>163.87999999999988</v>
      </c>
      <c r="W38" s="78">
        <f>W34-'14'!W34</f>
        <v>86</v>
      </c>
      <c r="X38" s="105">
        <f>IF(V34+X34=0,0,X34/(V34+X34))</f>
        <v>0</v>
      </c>
      <c r="Y38" s="67"/>
      <c r="Z38" s="54">
        <f>Z34-'14'!Z34</f>
        <v>34.675000000000068</v>
      </c>
      <c r="AA38" s="78">
        <f>AA34-'14'!AA34</f>
        <v>-3332</v>
      </c>
      <c r="AB38" s="105">
        <f>IF(Z34+AB34=0,0,AB34/(Z34+AB34))</f>
        <v>0</v>
      </c>
      <c r="AC38" s="67"/>
      <c r="AD38" s="54">
        <f>AD34-'14'!AD34</f>
        <v>24.800000000000068</v>
      </c>
      <c r="AE38" s="78">
        <f>AE34-'14'!AE34</f>
        <v>-5326</v>
      </c>
      <c r="AF38" s="105">
        <f>IF(AD34+AF34=0,0,AF34/(AD34+AF34))</f>
        <v>0</v>
      </c>
      <c r="AG38" s="67"/>
      <c r="AH38" s="54">
        <f>AH34-'14'!AH34</f>
        <v>-116.51999999999998</v>
      </c>
      <c r="AI38" s="78">
        <f>AI34-'14'!AI34</f>
        <v>-2396</v>
      </c>
      <c r="AJ38" s="105">
        <f>IF(AH34+AJ34=0,0,AJ34/(AH34+AJ34))</f>
        <v>0</v>
      </c>
      <c r="AK38" s="67"/>
      <c r="AL38" s="54">
        <f>AL34-'14'!AL34</f>
        <v>123.40999999999997</v>
      </c>
      <c r="AM38" s="78">
        <f>AM34-'14'!AM34</f>
        <v>-2135</v>
      </c>
      <c r="AN38" s="105">
        <f>IF(AL34+AN34=0,0,AN34/(AL34+AN34))</f>
        <v>0</v>
      </c>
      <c r="AO38" s="67"/>
      <c r="AP38" s="54">
        <f>AP34-'14'!AP34</f>
        <v>-236.91999999999996</v>
      </c>
      <c r="AQ38" s="78">
        <f>AQ34-'14'!AQ34</f>
        <v>-2299</v>
      </c>
      <c r="AR38" s="105">
        <f>IF(AP34+AR34=0,0,AR34/(AP34+AR34))</f>
        <v>2.1759915597903134E-2</v>
      </c>
      <c r="AS38" s="67"/>
      <c r="AT38" s="54">
        <f>AT34-'14'!AT34</f>
        <v>14.100000000000023</v>
      </c>
      <c r="AU38" s="78">
        <f>AU34-'14'!AU34</f>
        <v>-2769</v>
      </c>
      <c r="AV38" s="105">
        <f>IF(AT34+AV34=0,0,AV34/(AT34+AV34))</f>
        <v>0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G39" s="217"/>
      <c r="H39" s="169"/>
      <c r="I39" s="168"/>
      <c r="J39" s="50">
        <f>SUM(B34,F34,J34)</f>
        <v>1252.3699999999999</v>
      </c>
      <c r="K39" s="51">
        <f t="shared" ref="K39:L39" si="12">SUM(C34,G34,K34)</f>
        <v>11731</v>
      </c>
      <c r="L39" s="170">
        <f t="shared" si="12"/>
        <v>16</v>
      </c>
      <c r="M39" s="168"/>
      <c r="P39" s="169"/>
      <c r="Q39" s="168"/>
      <c r="T39" s="169"/>
      <c r="U39" s="168"/>
      <c r="V39" s="50">
        <f>SUM(N34,R34,V34)</f>
        <v>2728.5</v>
      </c>
      <c r="W39" s="51">
        <f>SUM(O34,S34,W34)</f>
        <v>24112</v>
      </c>
      <c r="X39" s="170">
        <f>SUM(P34,T34,X34)</f>
        <v>51.6</v>
      </c>
      <c r="Y39" s="168"/>
      <c r="AB39" s="169"/>
      <c r="AC39" s="168"/>
      <c r="AF39" s="169"/>
      <c r="AG39" s="168"/>
      <c r="AH39" s="86">
        <f>SUM(Z34,AD34,AH34)</f>
        <v>1991.1299999999999</v>
      </c>
      <c r="AI39" s="51">
        <f>SUM(AA34,AE34,AI34)</f>
        <v>15049</v>
      </c>
      <c r="AJ39" s="170">
        <f>SUM(AB34,AF34,AJ34)</f>
        <v>0</v>
      </c>
      <c r="AK39" s="168"/>
      <c r="AN39" s="169"/>
      <c r="AO39" s="168"/>
      <c r="AR39" s="169"/>
      <c r="AS39" s="168"/>
      <c r="AT39" s="50">
        <f>SUM(AL34,AP34,AT34)</f>
        <v>1830.9900000000002</v>
      </c>
      <c r="AU39" s="51">
        <f>SUM(AM34,AQ34,AU34)</f>
        <v>11858</v>
      </c>
      <c r="AV39" s="170">
        <f>SUM(AN34,AR34,AV34)</f>
        <v>13.200000000000001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17.375260332796564</v>
      </c>
      <c r="K40" s="55">
        <f>IFERROR(AVERAGE(C37,G37,K37),0)</f>
        <v>164.05206655931295</v>
      </c>
      <c r="L40" s="152">
        <f>IFERROR(AVERAGE(D37,H37,L37),0)</f>
        <v>9.2592592592592587E-3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31.595272230756098</v>
      </c>
      <c r="W40" s="55">
        <f>IFERROR(AVERAGE(O37,S37,W37),0)</f>
        <v>279.93275302952725</v>
      </c>
      <c r="X40" s="152">
        <f>IFERROR(AVERAGE(P37,T37,X37),0)</f>
        <v>1.8402777777777778E-2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25.315372208436724</v>
      </c>
      <c r="AI40" s="55">
        <f>IFERROR(AVERAGE(AA37,AE37,AI37),0)</f>
        <v>192.54599561261554</v>
      </c>
      <c r="AJ40" s="152">
        <f>IFERROR(AVERAGE(AB37,AF37,AJ37),0)</f>
        <v>0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21.586858088148414</v>
      </c>
      <c r="AU40" s="55">
        <f>IFERROR(AVERAGE(AM37,AQ37,AU37),0)</f>
        <v>141.33315609122062</v>
      </c>
      <c r="AV40" s="152">
        <f>IFERROR(AVERAGE(AN37,AR37,AV37),0)</f>
        <v>7.6388888888888895E-3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11</v>
      </c>
      <c r="C41" s="96">
        <f>RANK(C34,(C34,G34,K34,O34,S34,W34,AA34,AE34,AI34,AM34,AQ34,AU34))</f>
        <v>7</v>
      </c>
      <c r="D41" s="102">
        <f>RANK(D34,(D34,H34,L34,P34,T34,X34,AB34,AF34,AJ34,AN34,AR34,AV34))</f>
        <v>5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11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10</v>
      </c>
      <c r="K41" s="96">
        <f>RANK(K34,(C34,G34,K34,O34,S34,W34,AA34,AE34,AI34,AM34,AQ34,AU34))</f>
        <v>8</v>
      </c>
      <c r="L41" s="102">
        <f>RANK(L34,(D34,H34,L34,P34,T34,X34,AB34,AF34,AJ34,AN34,AR34,AV34))</f>
        <v>5</v>
      </c>
      <c r="M41" s="103"/>
      <c r="N41" s="95">
        <f>RANK(N34,(B34,F34,J34,N34,R34,V34,Z34,AD34,AH34,AL34,AP34,AT34))</f>
        <v>4</v>
      </c>
      <c r="O41" s="96">
        <f>RANK(O34,(C34,G34,K34,O34,S34,W34,AA34,AE34,AI34,AM34,AQ34,AU34))</f>
        <v>3</v>
      </c>
      <c r="P41" s="102">
        <f>RANK(P34,(D34,H34,L34,P34,T34,X34,AB34,AF34,AJ34,AN34,AR34,AV34))</f>
        <v>1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2</v>
      </c>
      <c r="T41" s="102">
        <f>RANK(T34,(D34,H34,L34,P34,T34,X34,AB34,AF34,AJ34,AN34,AR34,AV34))</f>
        <v>4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1</v>
      </c>
      <c r="X41" s="102">
        <f>RANK(X34,(D34,H34,L34,P34,T34,X34,AB34,AF34,AJ34,AN34,AR34,AV34))</f>
        <v>5</v>
      </c>
      <c r="Y41" s="103"/>
      <c r="Z41" s="95">
        <f>RANK(Z34,(B34,F34,J34,N34,R34,V34,Z34,AD34,AH34,AL34,AP34,AT34))</f>
        <v>5</v>
      </c>
      <c r="AA41" s="96">
        <f>RANK(AA34,(C34,G34,K34,O34,S34,W34,AA34,AE34,AI34,AM34,AQ34,AU34))</f>
        <v>6</v>
      </c>
      <c r="AB41" s="102">
        <f>RANK(AB34,(D34,H34,L34,P34,T34,X34,AB34,AF34,AJ34,AN34,AR34,AV34))</f>
        <v>5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4</v>
      </c>
      <c r="AF41" s="102">
        <f>RANK(AF34,(D34,H34,L34,P34,T34,X34,AB34,AF34,AJ34,AN34,AR34,AV34))</f>
        <v>5</v>
      </c>
      <c r="AG41" s="103"/>
      <c r="AH41" s="95">
        <f>RANK(AH34,(B34,F34,J34,N34,R34,V34,Z34,AD34,AH34,AL34,AP34,AT34))</f>
        <v>9</v>
      </c>
      <c r="AI41" s="96">
        <f>RANK(AI34,(C34,G34,K34,O34,S34,W34,AA34,AE34,AI34,AM34,AQ34,AU34))</f>
        <v>9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6</v>
      </c>
      <c r="AM41" s="96">
        <f>RANK(AM34,(C34,G34,K34,O34,S34,W34,AA34,AE34,AI34,AM34,AQ34,AU34))</f>
        <v>10</v>
      </c>
      <c r="AN41" s="102">
        <f>RANK(AN34,(D34,H34,L34,P34,T34,X34,AB34,AF34,AJ34,AN34,AR34,AV34))</f>
        <v>5</v>
      </c>
      <c r="AO41" s="103"/>
      <c r="AP41" s="95">
        <f>RANK(AP34,(B34,F34,J34,N34,R34,V34,Z34,AD34,AH34,AL34,AP34,AT34))</f>
        <v>7</v>
      </c>
      <c r="AQ41" s="96">
        <f>RANK(AQ34,(C34,G34,K34,O34,S34,W34,AA34,AE34,AI34,AM34,AQ34,AU34))</f>
        <v>5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8</v>
      </c>
      <c r="AU41" s="96">
        <f>RANK(AU34,(C34,G34,K34,O34,S34,W34,AA34,AE34,AI34,AM34,AQ34,AU34))</f>
        <v>12</v>
      </c>
      <c r="AV41" s="102">
        <f>RANK(AV34,(D34,H34,L34,P34,T34,X34,AB34,AF34,AJ34,AN34,AR34,AV34))</f>
        <v>5</v>
      </c>
      <c r="AW41" s="107"/>
    </row>
    <row r="42" spans="1:49" s="49" customFormat="1" ht="11.25" x14ac:dyDescent="0.2">
      <c r="A42" s="52" t="s">
        <v>214</v>
      </c>
      <c r="B42" s="86">
        <f>T1</f>
        <v>23.968190715034449</v>
      </c>
      <c r="C42" s="87">
        <f>AB1</f>
        <v>194.46599282316905</v>
      </c>
      <c r="D42" s="88"/>
      <c r="E42" s="176" t="s">
        <v>399</v>
      </c>
      <c r="F42" s="177">
        <f>SUM(J23:J33,N3:N33,R3:R33,V3:V33,Z3:Z33,AD3:AD33,AH3:AH23)</f>
        <v>4688.1700000000019</v>
      </c>
      <c r="G42" s="178">
        <f>SUM(K23:K33,O3:O32,S3:S33,W3:W32,AA3:AA33,AE3:AE33,AI3:AI23)</f>
        <v>39624</v>
      </c>
      <c r="H42" s="179"/>
      <c r="I42" s="179"/>
      <c r="J42" s="180">
        <f>IFERROR(F42/(F42+F43),0)</f>
        <v>0.60081712266708054</v>
      </c>
      <c r="K42" s="180">
        <f>IFERROR(G42/(G42+G43),0)</f>
        <v>0.63145816733067728</v>
      </c>
      <c r="L42" s="179"/>
      <c r="M42" s="259" t="s">
        <v>600</v>
      </c>
      <c r="N42" s="257">
        <v>67</v>
      </c>
      <c r="Y42" s="144"/>
      <c r="AK42" s="211" t="s">
        <v>478</v>
      </c>
      <c r="AL42" s="47">
        <f>MAX(B34,F34,J34,N34,R34,V34,Z34,AD34,AH34,AL34,AP34,AT34)</f>
        <v>1042.1100000000001</v>
      </c>
      <c r="AM42" s="212">
        <f>MAX(C34,G34,K34,O34,S34,W34,AA34,AE34,AI34,AM34,AQ34,AU34)</f>
        <v>8968</v>
      </c>
      <c r="AN42" s="49" t="s">
        <v>346</v>
      </c>
      <c r="AO42" s="210" t="s">
        <v>344</v>
      </c>
      <c r="AP42" s="54">
        <f>R1-'14'!R1</f>
        <v>-170.15000000000009</v>
      </c>
      <c r="AQ42" s="78">
        <f>AF1-'14'!AF1</f>
        <v>-2347</v>
      </c>
      <c r="AR42" s="49" t="s">
        <v>345</v>
      </c>
      <c r="AS42" s="209" t="s">
        <v>344</v>
      </c>
      <c r="AT42" s="54">
        <f>I1-'14'!I1</f>
        <v>-24.47999999999999</v>
      </c>
      <c r="AU42" s="78">
        <f>AN1-'14'!AN1</f>
        <v>-17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21.378054794520544</v>
      </c>
      <c r="C43" s="87">
        <f>AU1/365</f>
        <v>171.91780821917808</v>
      </c>
      <c r="D43" s="88"/>
      <c r="E43" s="172" t="s">
        <v>400</v>
      </c>
      <c r="F43" s="173">
        <f>E1-F42</f>
        <v>3114.819999999997</v>
      </c>
      <c r="G43" s="174">
        <f>AU1-G42</f>
        <v>23126</v>
      </c>
      <c r="H43" s="175"/>
      <c r="I43" s="175"/>
      <c r="J43" s="181">
        <f>IFERROR(F43/(F42+F43),0)</f>
        <v>0.39918287733291946</v>
      </c>
      <c r="K43" s="181">
        <f>IFERROR(G43/(G42+G43),0)</f>
        <v>0.36854183266932272</v>
      </c>
      <c r="L43" s="175"/>
      <c r="M43" s="65" t="s">
        <v>601</v>
      </c>
      <c r="N43" s="258">
        <v>4</v>
      </c>
      <c r="Y43" s="67"/>
      <c r="AK43" s="213" t="s">
        <v>481</v>
      </c>
      <c r="AL43" s="188">
        <f>IF($B$1&lt;&gt;0,$AV$35/$B1,0)</f>
        <v>1.0248877760569474E-2</v>
      </c>
      <c r="AO43" s="209" t="s">
        <v>344</v>
      </c>
      <c r="AP43" s="54">
        <f>AV35-'14'!AV35</f>
        <v>-254.8</v>
      </c>
      <c r="AQ43" s="188">
        <f>AL43-'14'!AL43</f>
        <v>-2.9469495774401291E-2</v>
      </c>
      <c r="AR43" s="49" t="s">
        <v>204</v>
      </c>
      <c r="AS43" s="209" t="s">
        <v>344</v>
      </c>
      <c r="AT43" s="54">
        <f>B1-'14'!B1</f>
        <v>-565.69999999999891</v>
      </c>
      <c r="AU43" s="78">
        <f>AU1-'14'!AU1</f>
        <v>-25363</v>
      </c>
      <c r="AV43" s="49" t="s">
        <v>347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394" priority="95" operator="equal">
      <formula>$R$1</formula>
    </cfRule>
    <cfRule type="cellIs" dxfId="393" priority="96" operator="equal">
      <formula>$M$1</formula>
    </cfRule>
  </conditionalFormatting>
  <conditionalFormatting sqref="C34 G34 K34 O34 S34 W34 AA34 AE34 AI34 AM34 AQ34 AU34">
    <cfRule type="cellIs" dxfId="392" priority="94" operator="equal">
      <formula>$AF$1</formula>
    </cfRule>
    <cfRule type="cellIs" dxfId="391" priority="9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390" priority="91" operator="lessThan">
      <formula>0</formula>
    </cfRule>
    <cfRule type="cellIs" dxfId="389" priority="92" operator="greaterThanOrEqual">
      <formula>0</formula>
    </cfRule>
  </conditionalFormatting>
  <conditionalFormatting sqref="C38 AU42:AU43 AQ42 G38 K38 O38 S38 W38 AA38 AE38 AI38 AM38 AQ38 AU38">
    <cfRule type="cellIs" dxfId="388" priority="89" operator="lessThan">
      <formula>0</formula>
    </cfRule>
    <cfRule type="cellIs" dxfId="387" priority="90" operator="greaterThanOrEqual">
      <formula>0</formula>
    </cfRule>
  </conditionalFormatting>
  <conditionalFormatting sqref="D38">
    <cfRule type="cellIs" dxfId="386" priority="8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385" priority="8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384" priority="80" operator="equal">
      <formula>MAX($D$34,$H$34,$L$34,$P$34,$T$34,$X$34,$AB$34,$AF$34,$AJ$34,$AN$34,$AR$34,$AV$34)</formula>
    </cfRule>
  </conditionalFormatting>
  <conditionalFormatting sqref="H3:H33 L3:L33 P3:P33 T3:T33 X3:X33 AB3:AB33 AF3:AF33 AJ3:AJ33 AN3:AN33 AR3:AR33 AV3:AV33 D3:D33">
    <cfRule type="cellIs" dxfId="383" priority="77" stopIfTrue="1" operator="between">
      <formula>0</formula>
      <formula>0.0416550925925926</formula>
    </cfRule>
    <cfRule type="cellIs" dxfId="382" priority="78" stopIfTrue="1" operator="between">
      <formula>0.0416666666666667</formula>
      <formula>0.0833217592592593</formula>
    </cfRule>
    <cfRule type="cellIs" dxfId="381" priority="7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380" priority="65" operator="equal">
      <formula>MAX($D$36,$H$36,$L$36,$P$36,$T$36,$X$36,$AB$36,$AF$36,$AJ$36,$AN$36,$AR$36,$AV$36)</formula>
    </cfRule>
  </conditionalFormatting>
  <conditionalFormatting sqref="AP43">
    <cfRule type="cellIs" dxfId="379" priority="63" operator="lessThan">
      <formula>0</formula>
    </cfRule>
    <cfRule type="cellIs" dxfId="378" priority="64" operator="greaterThanOrEqual">
      <formula>0</formula>
    </cfRule>
  </conditionalFormatting>
  <conditionalFormatting sqref="B3:B33 F3:F33 J3:J33 N3:N33 R3:R33 V3:V33 Z3:Z33 AT3:AT33 AH3:AH33 AL3:AL33 AP3:AP33 AD3:AD33">
    <cfRule type="cellIs" dxfId="377" priority="86" stopIfTrue="1" operator="lessThan">
      <formula>50</formula>
    </cfRule>
    <cfRule type="cellIs" dxfId="376" priority="87" stopIfTrue="1" operator="greaterThanOrEqual">
      <formula>100</formula>
    </cfRule>
    <cfRule type="cellIs" dxfId="375" priority="88" operator="greaterThanOrEqual">
      <formula>50</formula>
    </cfRule>
  </conditionalFormatting>
  <conditionalFormatting sqref="C3:C33 G3:G33 K3:K33 O3:O33 S3:S33 W3:W33 AA3:AA33 AU3:AU33 AI3:AI33 AM3:AM33 AQ3:AQ33 AE3:AE33">
    <cfRule type="cellIs" dxfId="374" priority="83" stopIfTrue="1" operator="between">
      <formula>0</formula>
      <formula>749.99</formula>
    </cfRule>
    <cfRule type="cellIs" dxfId="373" priority="84" stopIfTrue="1" operator="greaterThanOrEqual">
      <formula>1500</formula>
    </cfRule>
    <cfRule type="cellIs" dxfId="372" priority="85" operator="greaterThanOrEqual">
      <formula>750</formula>
    </cfRule>
  </conditionalFormatting>
  <conditionalFormatting sqref="AQ43">
    <cfRule type="cellIs" dxfId="371" priority="61" stopIfTrue="1" operator="lessThan">
      <formula>0</formula>
    </cfRule>
    <cfRule type="cellIs" dxfId="370" priority="62" operator="greaterThanOrEqual">
      <formula>0</formula>
    </cfRule>
  </conditionalFormatting>
  <conditionalFormatting sqref="AL42">
    <cfRule type="cellIs" dxfId="369" priority="56" stopIfTrue="1" operator="lessThan">
      <formula>1000</formula>
    </cfRule>
    <cfRule type="cellIs" dxfId="368" priority="57" stopIfTrue="1" operator="lessThan">
      <formula>1100</formula>
    </cfRule>
    <cfRule type="cellIs" dxfId="367" priority="58" stopIfTrue="1" operator="lessThan">
      <formula>9999</formula>
    </cfRule>
  </conditionalFormatting>
  <conditionalFormatting sqref="AM42">
    <cfRule type="cellIs" dxfId="366" priority="53" stopIfTrue="1" operator="lessThan">
      <formula>10000</formula>
    </cfRule>
    <cfRule type="cellIs" dxfId="365" priority="54" stopIfTrue="1" operator="lessThan">
      <formula>13000</formula>
    </cfRule>
    <cfRule type="cellIs" dxfId="364" priority="55" stopIfTrue="1" operator="lessThan">
      <formula>99999</formula>
    </cfRule>
  </conditionalFormatting>
  <conditionalFormatting sqref="AL43">
    <cfRule type="cellIs" dxfId="363" priority="50" stopIfTrue="1" operator="lessThan">
      <formula>0.05</formula>
    </cfRule>
    <cfRule type="cellIs" dxfId="362" priority="51" stopIfTrue="1" operator="lessThan">
      <formula>0.1</formula>
    </cfRule>
    <cfRule type="cellIs" dxfId="361" priority="5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58">
        <f>AT35+AV35</f>
        <v>8048.1349999999993</v>
      </c>
      <c r="C1" s="358"/>
      <c r="D1" s="83" t="s">
        <v>238</v>
      </c>
      <c r="E1" s="359">
        <f>AT35</f>
        <v>7595.3349999999991</v>
      </c>
      <c r="F1" s="359"/>
      <c r="G1" s="360" t="s">
        <v>152</v>
      </c>
      <c r="H1" s="360"/>
      <c r="I1" s="356">
        <f>MAX(B36,F36,J36,N36,R36,V36,Z36,AD36,AH36,AL36,AP36,AT36)</f>
        <v>141.72</v>
      </c>
      <c r="J1" s="356"/>
      <c r="K1" s="361" t="s">
        <v>159</v>
      </c>
      <c r="L1" s="361"/>
      <c r="M1" s="362">
        <f>MAX(B34,F34,J34,N34,R34,V34,Z34,AD34,AH34,AL34,AP34,AT34)</f>
        <v>913.65999999999974</v>
      </c>
      <c r="N1" s="362"/>
      <c r="O1" s="355" t="s">
        <v>190</v>
      </c>
      <c r="P1" s="355"/>
      <c r="Q1" s="355"/>
      <c r="R1" s="149">
        <f>MIN(B34,F34,J34,N34,R34,V34,Z34,AD34,AH34,AL34,AP34,AT34)</f>
        <v>370.08</v>
      </c>
      <c r="S1" s="84" t="s">
        <v>207</v>
      </c>
      <c r="T1" s="368">
        <f>IFERROR(AVERAGE(B37,F37,J37,N37,R37,V37,Z37,AD37,AH37,AL37,AP37,AT37),0)</f>
        <v>23.070445414061023</v>
      </c>
      <c r="U1" s="368"/>
      <c r="V1" s="381" t="s">
        <v>803</v>
      </c>
      <c r="W1" s="381"/>
      <c r="X1" s="381"/>
      <c r="Y1" s="381"/>
      <c r="Z1" s="381"/>
      <c r="AA1" s="85" t="s">
        <v>207</v>
      </c>
      <c r="AB1" s="357">
        <f>IFERROR(AVERAGE(C37,G37,K37,O37,S37,W37,AA37,AE37,AI37,AM37,AQ37,AU37),0)</f>
        <v>175.17562884408821</v>
      </c>
      <c r="AC1" s="357"/>
      <c r="AD1" s="367" t="s">
        <v>190</v>
      </c>
      <c r="AE1" s="367"/>
      <c r="AF1" s="370">
        <f>MIN(C34,G34,K34,O34,S34,W34,AA34,AE34,AI34,AM34,AQ34,AU34)</f>
        <v>1161</v>
      </c>
      <c r="AG1" s="370"/>
      <c r="AH1" s="371" t="s">
        <v>159</v>
      </c>
      <c r="AI1" s="371"/>
      <c r="AJ1" s="372">
        <f>MAX(C34,G34,K34,O34,S34,W34,AA34,AE34,AI34,AM34,AQ34,AU34)</f>
        <v>11863</v>
      </c>
      <c r="AK1" s="372"/>
      <c r="AL1" s="374" t="s">
        <v>153</v>
      </c>
      <c r="AM1" s="374"/>
      <c r="AN1" s="373">
        <f>MAX(C36,G36,K36,O36,S36,W36,AA36,AE36,AI36,AM36,AQ36,AU36)</f>
        <v>2025</v>
      </c>
      <c r="AO1" s="373"/>
      <c r="AP1" s="363" t="s">
        <v>361</v>
      </c>
      <c r="AQ1" s="363"/>
      <c r="AR1" s="364">
        <f>MAX(D36,H36,L36,P36,T36,X36,AB36,AF36,AJ36,AN36,AR36,AV36)</f>
        <v>4.6527777777777779E-2</v>
      </c>
      <c r="AS1" s="364"/>
      <c r="AT1" s="81" t="s">
        <v>2</v>
      </c>
      <c r="AU1" s="365">
        <f>AU35</f>
        <v>58400</v>
      </c>
      <c r="AV1" s="366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/>
      <c r="C3" s="55"/>
      <c r="D3" s="150">
        <v>3.1944444444444449E-2</v>
      </c>
      <c r="E3" s="75">
        <v>1</v>
      </c>
      <c r="F3" s="54">
        <v>26.389999999999997</v>
      </c>
      <c r="G3" s="55">
        <v>155</v>
      </c>
      <c r="H3" s="150"/>
      <c r="I3" s="75">
        <v>1</v>
      </c>
      <c r="J3" s="54">
        <v>11.47</v>
      </c>
      <c r="K3" s="55">
        <v>45</v>
      </c>
      <c r="L3" s="150"/>
      <c r="M3" s="75">
        <v>1</v>
      </c>
      <c r="N3" s="54">
        <v>10</v>
      </c>
      <c r="O3" s="55">
        <v>340</v>
      </c>
      <c r="P3" s="150"/>
      <c r="Q3" s="75">
        <v>1</v>
      </c>
      <c r="R3" s="54">
        <v>37.299999999999997</v>
      </c>
      <c r="S3" s="55">
        <v>190</v>
      </c>
      <c r="T3" s="150"/>
      <c r="U3" s="75">
        <v>1</v>
      </c>
      <c r="V3" s="54">
        <v>20.2</v>
      </c>
      <c r="W3" s="55">
        <v>30</v>
      </c>
      <c r="X3" s="150"/>
      <c r="Y3" s="75">
        <v>1</v>
      </c>
      <c r="Z3" s="54">
        <v>20</v>
      </c>
      <c r="AA3" s="55">
        <v>120</v>
      </c>
      <c r="AB3" s="150"/>
      <c r="AC3" s="75">
        <v>1</v>
      </c>
      <c r="AD3" s="54">
        <v>14.8</v>
      </c>
      <c r="AE3" s="55">
        <v>330</v>
      </c>
      <c r="AF3" s="150"/>
      <c r="AG3" s="75">
        <v>1</v>
      </c>
      <c r="AH3" s="54">
        <v>19.27</v>
      </c>
      <c r="AI3" s="55">
        <v>80</v>
      </c>
      <c r="AJ3" s="150"/>
      <c r="AK3" s="75">
        <v>1</v>
      </c>
      <c r="AL3" s="54"/>
      <c r="AM3" s="55"/>
      <c r="AN3" s="150">
        <v>1.0416666666666666E-2</v>
      </c>
      <c r="AO3" s="75">
        <v>1</v>
      </c>
      <c r="AP3" s="54">
        <v>29.47</v>
      </c>
      <c r="AQ3" s="55">
        <v>180</v>
      </c>
      <c r="AR3" s="150"/>
      <c r="AS3" s="75">
        <v>1</v>
      </c>
      <c r="AT3" s="54">
        <v>15.69</v>
      </c>
      <c r="AU3" s="55">
        <v>165</v>
      </c>
      <c r="AV3" s="150">
        <v>2.0833333333333332E-2</v>
      </c>
      <c r="AW3" s="67"/>
    </row>
    <row r="4" spans="1:49" s="49" customFormat="1" ht="11.25" x14ac:dyDescent="0.2">
      <c r="A4" s="73">
        <f t="shared" ref="A4:A33" si="0">A3+1</f>
        <v>2</v>
      </c>
      <c r="B4" s="54"/>
      <c r="C4" s="55"/>
      <c r="D4" s="150">
        <v>2.0833333333333332E-2</v>
      </c>
      <c r="E4" s="75">
        <f t="shared" ref="E4:E30" si="1">E3+1</f>
        <v>2</v>
      </c>
      <c r="F4" s="54">
        <v>22.759999999999998</v>
      </c>
      <c r="G4" s="55">
        <v>117</v>
      </c>
      <c r="H4" s="150"/>
      <c r="I4" s="75">
        <f t="shared" ref="I4:I33" si="2">I3+1</f>
        <v>2</v>
      </c>
      <c r="J4" s="54">
        <v>12.45</v>
      </c>
      <c r="K4" s="55">
        <v>45</v>
      </c>
      <c r="L4" s="150"/>
      <c r="M4" s="75">
        <f t="shared" ref="M4:M32" si="3">M3+1</f>
        <v>2</v>
      </c>
      <c r="N4" s="54">
        <v>62.05</v>
      </c>
      <c r="O4" s="55">
        <v>380</v>
      </c>
      <c r="P4" s="150"/>
      <c r="Q4" s="75">
        <f t="shared" ref="Q4:Q33" si="4">Q3+1</f>
        <v>2</v>
      </c>
      <c r="R4" s="54">
        <v>10</v>
      </c>
      <c r="S4" s="55">
        <v>30</v>
      </c>
      <c r="T4" s="150"/>
      <c r="U4" s="75">
        <f t="shared" ref="U4:U32" si="5">U3+1</f>
        <v>2</v>
      </c>
      <c r="V4" s="54">
        <v>5</v>
      </c>
      <c r="W4" s="55">
        <v>3</v>
      </c>
      <c r="X4" s="150"/>
      <c r="Y4" s="75">
        <f t="shared" ref="Y4:Y33" si="6">Y3+1</f>
        <v>2</v>
      </c>
      <c r="Z4" s="54">
        <v>10</v>
      </c>
      <c r="AA4" s="55">
        <v>30</v>
      </c>
      <c r="AB4" s="150"/>
      <c r="AC4" s="75">
        <f t="shared" ref="AC4:AC33" si="7">AC3+1</f>
        <v>2</v>
      </c>
      <c r="AD4" s="54">
        <v>9</v>
      </c>
      <c r="AE4" s="55">
        <v>25</v>
      </c>
      <c r="AF4" s="150"/>
      <c r="AG4" s="75">
        <f>AG3+1</f>
        <v>2</v>
      </c>
      <c r="AH4" s="54">
        <v>14.8</v>
      </c>
      <c r="AI4" s="55">
        <v>330</v>
      </c>
      <c r="AJ4" s="150"/>
      <c r="AK4" s="75">
        <f>AK3+1</f>
        <v>2</v>
      </c>
      <c r="AL4" s="54">
        <v>45.64</v>
      </c>
      <c r="AM4" s="55">
        <v>335</v>
      </c>
      <c r="AN4" s="150"/>
      <c r="AO4" s="75">
        <f>AO3+1</f>
        <v>2</v>
      </c>
      <c r="AP4" s="54">
        <v>11.54</v>
      </c>
      <c r="AQ4" s="55">
        <v>30</v>
      </c>
      <c r="AR4" s="150"/>
      <c r="AS4" s="75">
        <f>AS3+1</f>
        <v>2</v>
      </c>
      <c r="AT4" s="54">
        <v>5</v>
      </c>
      <c r="AU4" s="55">
        <v>3</v>
      </c>
      <c r="AV4" s="150"/>
      <c r="AW4" s="67"/>
    </row>
    <row r="5" spans="1:49" s="49" customFormat="1" ht="11.25" x14ac:dyDescent="0.2">
      <c r="A5" s="73">
        <f t="shared" si="0"/>
        <v>3</v>
      </c>
      <c r="B5" s="54">
        <v>19.86</v>
      </c>
      <c r="C5" s="55">
        <v>72</v>
      </c>
      <c r="D5" s="150"/>
      <c r="E5" s="75">
        <f t="shared" si="1"/>
        <v>3</v>
      </c>
      <c r="F5" s="54">
        <v>10</v>
      </c>
      <c r="G5" s="55">
        <v>15</v>
      </c>
      <c r="H5" s="150">
        <v>1.3888888888888888E-2</v>
      </c>
      <c r="I5" s="75">
        <f t="shared" si="2"/>
        <v>3</v>
      </c>
      <c r="J5" s="54">
        <v>25.16</v>
      </c>
      <c r="K5" s="55">
        <v>25</v>
      </c>
      <c r="L5" s="150"/>
      <c r="M5" s="75">
        <f t="shared" si="3"/>
        <v>3</v>
      </c>
      <c r="N5" s="54">
        <v>64.42</v>
      </c>
      <c r="O5" s="55">
        <v>903</v>
      </c>
      <c r="P5" s="150"/>
      <c r="Q5" s="75">
        <f t="shared" si="4"/>
        <v>3</v>
      </c>
      <c r="R5" s="54">
        <v>5</v>
      </c>
      <c r="S5" s="55">
        <v>3</v>
      </c>
      <c r="T5" s="150"/>
      <c r="U5" s="75">
        <f t="shared" si="5"/>
        <v>3</v>
      </c>
      <c r="V5" s="54">
        <v>7</v>
      </c>
      <c r="W5" s="55">
        <v>3</v>
      </c>
      <c r="X5" s="150"/>
      <c r="Y5" s="75">
        <f t="shared" si="6"/>
        <v>3</v>
      </c>
      <c r="Z5" s="54">
        <v>13.96</v>
      </c>
      <c r="AA5" s="55">
        <v>140</v>
      </c>
      <c r="AB5" s="150">
        <v>3.4722222222222224E-2</v>
      </c>
      <c r="AC5" s="75">
        <f t="shared" si="7"/>
        <v>3</v>
      </c>
      <c r="AD5" s="54">
        <v>17.8</v>
      </c>
      <c r="AE5" s="55">
        <v>367</v>
      </c>
      <c r="AF5" s="150"/>
      <c r="AG5" s="75">
        <f t="shared" ref="AG5:AG32" si="8">AG4+1</f>
        <v>3</v>
      </c>
      <c r="AH5" s="54">
        <v>41.25</v>
      </c>
      <c r="AI5" s="55">
        <v>310</v>
      </c>
      <c r="AJ5" s="150"/>
      <c r="AK5" s="75">
        <f t="shared" ref="AK5:AK33" si="9">AK4+1</f>
        <v>3</v>
      </c>
      <c r="AL5" s="54">
        <v>34.96</v>
      </c>
      <c r="AM5" s="55">
        <v>55</v>
      </c>
      <c r="AN5" s="150"/>
      <c r="AO5" s="75">
        <f t="shared" ref="AO5:AO32" si="10">AO4+1</f>
        <v>3</v>
      </c>
      <c r="AP5" s="54">
        <v>5</v>
      </c>
      <c r="AQ5" s="55">
        <v>3</v>
      </c>
      <c r="AR5" s="150"/>
      <c r="AS5" s="75">
        <f t="shared" ref="AS5:AS33" si="11">AS4+1</f>
        <v>3</v>
      </c>
      <c r="AT5" s="54">
        <v>42.480000000000004</v>
      </c>
      <c r="AU5" s="55">
        <v>531</v>
      </c>
      <c r="AV5" s="150"/>
      <c r="AW5" s="67"/>
    </row>
    <row r="6" spans="1:49" s="49" customFormat="1" ht="11.25" x14ac:dyDescent="0.2">
      <c r="A6" s="73">
        <f t="shared" si="0"/>
        <v>4</v>
      </c>
      <c r="B6" s="54">
        <v>11.879999999999999</v>
      </c>
      <c r="C6" s="55">
        <v>37</v>
      </c>
      <c r="D6" s="150"/>
      <c r="E6" s="75">
        <f t="shared" si="1"/>
        <v>4</v>
      </c>
      <c r="F6" s="54">
        <v>10.8</v>
      </c>
      <c r="G6" s="55">
        <v>3</v>
      </c>
      <c r="H6" s="150"/>
      <c r="I6" s="75">
        <f t="shared" si="2"/>
        <v>4</v>
      </c>
      <c r="J6" s="54">
        <v>12.45</v>
      </c>
      <c r="K6" s="55">
        <v>45</v>
      </c>
      <c r="L6" s="150"/>
      <c r="M6" s="75">
        <f t="shared" si="3"/>
        <v>4</v>
      </c>
      <c r="N6" s="54">
        <v>11</v>
      </c>
      <c r="O6" s="55">
        <v>45</v>
      </c>
      <c r="P6" s="150"/>
      <c r="Q6" s="75">
        <f t="shared" si="4"/>
        <v>4</v>
      </c>
      <c r="R6" s="54">
        <v>21.1</v>
      </c>
      <c r="S6" s="55">
        <v>360</v>
      </c>
      <c r="T6" s="150"/>
      <c r="U6" s="75">
        <f t="shared" si="5"/>
        <v>4</v>
      </c>
      <c r="V6" s="54">
        <v>5</v>
      </c>
      <c r="W6" s="55">
        <v>3</v>
      </c>
      <c r="X6" s="150">
        <v>2.0833333333333332E-2</v>
      </c>
      <c r="Y6" s="75">
        <f t="shared" si="6"/>
        <v>4</v>
      </c>
      <c r="Z6" s="54">
        <v>13</v>
      </c>
      <c r="AA6" s="55">
        <v>30</v>
      </c>
      <c r="AB6" s="150"/>
      <c r="AC6" s="75">
        <f t="shared" si="7"/>
        <v>4</v>
      </c>
      <c r="AD6" s="54">
        <v>10</v>
      </c>
      <c r="AE6" s="55">
        <v>40</v>
      </c>
      <c r="AF6" s="150"/>
      <c r="AG6" s="75">
        <f t="shared" si="8"/>
        <v>4</v>
      </c>
      <c r="AH6" s="54">
        <v>42.26</v>
      </c>
      <c r="AI6" s="55">
        <v>320</v>
      </c>
      <c r="AJ6" s="150"/>
      <c r="AK6" s="75">
        <f t="shared" si="9"/>
        <v>4</v>
      </c>
      <c r="AL6" s="54">
        <v>10.199999999999999</v>
      </c>
      <c r="AM6" s="55">
        <v>5</v>
      </c>
      <c r="AN6" s="150"/>
      <c r="AO6" s="75">
        <f t="shared" si="10"/>
        <v>4</v>
      </c>
      <c r="AP6" s="54">
        <v>19.13</v>
      </c>
      <c r="AQ6" s="55">
        <v>55</v>
      </c>
      <c r="AR6" s="150">
        <v>2.4305555555555556E-2</v>
      </c>
      <c r="AS6" s="75">
        <f t="shared" si="11"/>
        <v>4</v>
      </c>
      <c r="AT6" s="54">
        <v>35.520000000000003</v>
      </c>
      <c r="AU6" s="55">
        <v>215</v>
      </c>
      <c r="AV6" s="150">
        <v>1.0416666666666666E-2</v>
      </c>
      <c r="AW6" s="67"/>
    </row>
    <row r="7" spans="1:49" s="49" customFormat="1" ht="11.25" x14ac:dyDescent="0.2">
      <c r="A7" s="73">
        <f t="shared" si="0"/>
        <v>5</v>
      </c>
      <c r="B7" s="54">
        <v>11</v>
      </c>
      <c r="C7" s="55">
        <v>45</v>
      </c>
      <c r="D7" s="150"/>
      <c r="E7" s="75">
        <f t="shared" si="1"/>
        <v>5</v>
      </c>
      <c r="F7" s="54">
        <v>10</v>
      </c>
      <c r="G7" s="55">
        <v>30</v>
      </c>
      <c r="H7" s="150"/>
      <c r="I7" s="75">
        <f t="shared" si="2"/>
        <v>5</v>
      </c>
      <c r="J7" s="54">
        <v>16.7</v>
      </c>
      <c r="K7" s="55">
        <v>148</v>
      </c>
      <c r="L7" s="150"/>
      <c r="M7" s="75">
        <f t="shared" si="3"/>
        <v>5</v>
      </c>
      <c r="N7" s="54">
        <v>10</v>
      </c>
      <c r="O7" s="55">
        <v>23</v>
      </c>
      <c r="P7" s="150"/>
      <c r="Q7" s="75">
        <f t="shared" si="4"/>
        <v>5</v>
      </c>
      <c r="R7" s="54"/>
      <c r="S7" s="55"/>
      <c r="T7" s="150">
        <v>1.3888888888888888E-2</v>
      </c>
      <c r="U7" s="75">
        <f t="shared" si="5"/>
        <v>5</v>
      </c>
      <c r="V7" s="54">
        <v>31.599999999999998</v>
      </c>
      <c r="W7" s="55">
        <v>273</v>
      </c>
      <c r="X7" s="150">
        <v>1.0416666666666666E-2</v>
      </c>
      <c r="Y7" s="75">
        <f t="shared" si="6"/>
        <v>5</v>
      </c>
      <c r="Z7" s="54">
        <v>30.480000000000004</v>
      </c>
      <c r="AA7" s="55">
        <v>75</v>
      </c>
      <c r="AB7" s="150"/>
      <c r="AC7" s="75">
        <f t="shared" si="7"/>
        <v>5</v>
      </c>
      <c r="AD7" s="54">
        <v>23.2</v>
      </c>
      <c r="AE7" s="55">
        <v>444</v>
      </c>
      <c r="AF7" s="150"/>
      <c r="AG7" s="75">
        <f t="shared" si="8"/>
        <v>5</v>
      </c>
      <c r="AH7" s="54"/>
      <c r="AI7" s="55"/>
      <c r="AJ7" s="150"/>
      <c r="AK7" s="75">
        <f t="shared" si="9"/>
        <v>5</v>
      </c>
      <c r="AL7" s="54">
        <v>15.6</v>
      </c>
      <c r="AM7" s="55">
        <v>65</v>
      </c>
      <c r="AN7" s="150"/>
      <c r="AO7" s="75">
        <f t="shared" si="10"/>
        <v>5</v>
      </c>
      <c r="AP7" s="54">
        <v>10.5</v>
      </c>
      <c r="AQ7" s="55">
        <v>5</v>
      </c>
      <c r="AR7" s="150"/>
      <c r="AS7" s="75">
        <f t="shared" si="11"/>
        <v>5</v>
      </c>
      <c r="AT7" s="54">
        <v>19.84</v>
      </c>
      <c r="AU7" s="55">
        <v>30</v>
      </c>
      <c r="AV7" s="150">
        <v>1.5277777777777777E-2</v>
      </c>
      <c r="AW7" s="67"/>
    </row>
    <row r="8" spans="1:49" s="49" customFormat="1" ht="11.25" x14ac:dyDescent="0.2">
      <c r="A8" s="73">
        <f t="shared" si="0"/>
        <v>6</v>
      </c>
      <c r="B8" s="54">
        <v>29.66</v>
      </c>
      <c r="C8" s="55">
        <v>28</v>
      </c>
      <c r="D8" s="150"/>
      <c r="E8" s="75">
        <f t="shared" si="1"/>
        <v>6</v>
      </c>
      <c r="F8" s="54">
        <v>57.1</v>
      </c>
      <c r="G8" s="55">
        <v>705</v>
      </c>
      <c r="H8" s="150"/>
      <c r="I8" s="75">
        <f t="shared" si="2"/>
        <v>6</v>
      </c>
      <c r="J8" s="54">
        <v>25.060000000000002</v>
      </c>
      <c r="K8" s="55">
        <v>402</v>
      </c>
      <c r="L8" s="150"/>
      <c r="M8" s="75">
        <f t="shared" si="3"/>
        <v>6</v>
      </c>
      <c r="N8" s="54"/>
      <c r="O8" s="55"/>
      <c r="P8" s="150"/>
      <c r="Q8" s="75">
        <f t="shared" si="4"/>
        <v>6</v>
      </c>
      <c r="R8" s="54">
        <v>16.600000000000001</v>
      </c>
      <c r="S8" s="55">
        <v>354</v>
      </c>
      <c r="T8" s="150"/>
      <c r="U8" s="75">
        <f t="shared" si="5"/>
        <v>6</v>
      </c>
      <c r="V8" s="54">
        <v>17</v>
      </c>
      <c r="W8" s="55">
        <v>33</v>
      </c>
      <c r="X8" s="150"/>
      <c r="Y8" s="75">
        <f t="shared" si="6"/>
        <v>6</v>
      </c>
      <c r="Z8" s="54">
        <v>20.07</v>
      </c>
      <c r="AA8" s="55">
        <v>140</v>
      </c>
      <c r="AB8" s="150"/>
      <c r="AC8" s="75">
        <f t="shared" si="7"/>
        <v>6</v>
      </c>
      <c r="AD8" s="54">
        <v>49</v>
      </c>
      <c r="AE8" s="55">
        <v>390</v>
      </c>
      <c r="AF8" s="150"/>
      <c r="AG8" s="75">
        <f t="shared" si="8"/>
        <v>6</v>
      </c>
      <c r="AH8" s="54">
        <v>16.260000000000002</v>
      </c>
      <c r="AI8" s="55">
        <v>50</v>
      </c>
      <c r="AJ8" s="150"/>
      <c r="AK8" s="75">
        <f t="shared" si="9"/>
        <v>6</v>
      </c>
      <c r="AL8" s="54">
        <v>12.45</v>
      </c>
      <c r="AM8" s="55">
        <v>45</v>
      </c>
      <c r="AN8" s="150"/>
      <c r="AO8" s="75">
        <f t="shared" si="10"/>
        <v>6</v>
      </c>
      <c r="AP8" s="54">
        <v>33.07</v>
      </c>
      <c r="AQ8" s="55">
        <v>160</v>
      </c>
      <c r="AR8" s="150"/>
      <c r="AS8" s="75">
        <f t="shared" si="11"/>
        <v>6</v>
      </c>
      <c r="AT8" s="54">
        <v>10</v>
      </c>
      <c r="AU8" s="55">
        <v>25</v>
      </c>
      <c r="AV8" s="150"/>
      <c r="AW8" s="67"/>
    </row>
    <row r="9" spans="1:49" s="49" customFormat="1" ht="11.25" x14ac:dyDescent="0.2">
      <c r="A9" s="73">
        <f t="shared" si="0"/>
        <v>7</v>
      </c>
      <c r="B9" s="54">
        <v>10</v>
      </c>
      <c r="C9" s="55">
        <v>15</v>
      </c>
      <c r="D9" s="150"/>
      <c r="E9" s="75">
        <f t="shared" si="1"/>
        <v>7</v>
      </c>
      <c r="F9" s="54">
        <v>23.560000000000002</v>
      </c>
      <c r="G9" s="55">
        <v>400</v>
      </c>
      <c r="H9" s="150"/>
      <c r="I9" s="75">
        <f t="shared" si="2"/>
        <v>7</v>
      </c>
      <c r="J9" s="54">
        <v>26.7</v>
      </c>
      <c r="K9" s="55">
        <v>35</v>
      </c>
      <c r="L9" s="150"/>
      <c r="M9" s="75">
        <f t="shared" si="3"/>
        <v>7</v>
      </c>
      <c r="N9" s="54">
        <v>10.3</v>
      </c>
      <c r="O9" s="55">
        <v>25</v>
      </c>
      <c r="P9" s="150"/>
      <c r="Q9" s="75">
        <f t="shared" si="4"/>
        <v>7</v>
      </c>
      <c r="R9" s="54">
        <v>78.3</v>
      </c>
      <c r="S9" s="55">
        <v>2025</v>
      </c>
      <c r="T9" s="150"/>
      <c r="U9" s="75">
        <f t="shared" si="5"/>
        <v>7</v>
      </c>
      <c r="V9" s="54">
        <v>13</v>
      </c>
      <c r="W9" s="55">
        <v>100</v>
      </c>
      <c r="X9" s="150"/>
      <c r="Y9" s="75">
        <f t="shared" si="6"/>
        <v>7</v>
      </c>
      <c r="Z9" s="54">
        <v>14.8</v>
      </c>
      <c r="AA9" s="55">
        <v>330</v>
      </c>
      <c r="AB9" s="150"/>
      <c r="AC9" s="75">
        <f t="shared" si="7"/>
        <v>7</v>
      </c>
      <c r="AD9" s="54">
        <v>84.4</v>
      </c>
      <c r="AE9" s="55">
        <v>1060</v>
      </c>
      <c r="AF9" s="150">
        <v>1.0416666666666666E-2</v>
      </c>
      <c r="AG9" s="75">
        <f t="shared" si="8"/>
        <v>7</v>
      </c>
      <c r="AH9" s="54">
        <v>14.8</v>
      </c>
      <c r="AI9" s="55">
        <v>330</v>
      </c>
      <c r="AJ9" s="150"/>
      <c r="AK9" s="75">
        <f t="shared" si="9"/>
        <v>7</v>
      </c>
      <c r="AL9" s="54">
        <v>12.42</v>
      </c>
      <c r="AM9" s="55">
        <v>60</v>
      </c>
      <c r="AN9" s="150"/>
      <c r="AO9" s="75">
        <f t="shared" si="10"/>
        <v>7</v>
      </c>
      <c r="AP9" s="54">
        <v>5.15</v>
      </c>
      <c r="AQ9" s="55">
        <v>3</v>
      </c>
      <c r="AR9" s="150"/>
      <c r="AS9" s="75">
        <f t="shared" si="11"/>
        <v>7</v>
      </c>
      <c r="AT9" s="54">
        <v>11.25</v>
      </c>
      <c r="AU9" s="55">
        <v>30</v>
      </c>
      <c r="AV9" s="150"/>
      <c r="AW9" s="67"/>
    </row>
    <row r="10" spans="1:49" s="49" customFormat="1" ht="11.25" x14ac:dyDescent="0.2">
      <c r="A10" s="73">
        <f t="shared" si="0"/>
        <v>8</v>
      </c>
      <c r="B10" s="54">
        <v>10</v>
      </c>
      <c r="C10" s="55">
        <v>15</v>
      </c>
      <c r="D10" s="150"/>
      <c r="E10" s="75">
        <f t="shared" si="1"/>
        <v>8</v>
      </c>
      <c r="F10" s="54">
        <v>10</v>
      </c>
      <c r="G10" s="55">
        <v>3</v>
      </c>
      <c r="H10" s="150"/>
      <c r="I10" s="75">
        <f t="shared" si="2"/>
        <v>8</v>
      </c>
      <c r="J10" s="54">
        <v>24.89</v>
      </c>
      <c r="K10" s="55">
        <v>25</v>
      </c>
      <c r="L10" s="150"/>
      <c r="M10" s="75">
        <f t="shared" si="3"/>
        <v>8</v>
      </c>
      <c r="N10" s="54">
        <v>15.100000000000001</v>
      </c>
      <c r="O10" s="55">
        <v>334</v>
      </c>
      <c r="P10" s="150"/>
      <c r="Q10" s="75">
        <f t="shared" si="4"/>
        <v>8</v>
      </c>
      <c r="R10" s="54">
        <v>19.05</v>
      </c>
      <c r="S10" s="55">
        <v>110</v>
      </c>
      <c r="T10" s="150"/>
      <c r="U10" s="75">
        <f t="shared" si="5"/>
        <v>8</v>
      </c>
      <c r="V10" s="54">
        <v>15</v>
      </c>
      <c r="W10" s="55">
        <v>46</v>
      </c>
      <c r="X10" s="150"/>
      <c r="Y10" s="75">
        <f t="shared" si="6"/>
        <v>8</v>
      </c>
      <c r="Z10" s="54">
        <v>14.8</v>
      </c>
      <c r="AA10" s="55">
        <v>330</v>
      </c>
      <c r="AB10" s="150"/>
      <c r="AC10" s="75">
        <f t="shared" si="7"/>
        <v>8</v>
      </c>
      <c r="AD10" s="54">
        <v>12.45</v>
      </c>
      <c r="AE10" s="55">
        <v>45</v>
      </c>
      <c r="AF10" s="150"/>
      <c r="AG10" s="75">
        <f t="shared" si="8"/>
        <v>8</v>
      </c>
      <c r="AH10" s="54">
        <v>18</v>
      </c>
      <c r="AI10" s="49">
        <v>55</v>
      </c>
      <c r="AJ10" s="150"/>
      <c r="AK10" s="75">
        <f t="shared" si="9"/>
        <v>8</v>
      </c>
      <c r="AL10" s="54">
        <v>39.150000000000006</v>
      </c>
      <c r="AM10" s="55">
        <v>774</v>
      </c>
      <c r="AN10" s="150"/>
      <c r="AO10" s="75">
        <f t="shared" si="10"/>
        <v>8</v>
      </c>
      <c r="AP10" s="54">
        <v>11</v>
      </c>
      <c r="AQ10" s="55">
        <v>30</v>
      </c>
      <c r="AR10" s="150"/>
      <c r="AS10" s="75">
        <f t="shared" si="11"/>
        <v>8</v>
      </c>
      <c r="AT10" s="54">
        <v>12.04</v>
      </c>
      <c r="AU10" s="55">
        <v>20</v>
      </c>
      <c r="AV10" s="150"/>
      <c r="AW10" s="67"/>
    </row>
    <row r="11" spans="1:49" s="49" customFormat="1" ht="11.25" x14ac:dyDescent="0.2">
      <c r="A11" s="73">
        <f t="shared" si="0"/>
        <v>9</v>
      </c>
      <c r="B11" s="54">
        <v>35.659999999999997</v>
      </c>
      <c r="C11" s="55">
        <v>70</v>
      </c>
      <c r="D11" s="150">
        <v>2.2916666666666669E-2</v>
      </c>
      <c r="E11" s="75">
        <f t="shared" si="1"/>
        <v>9</v>
      </c>
      <c r="F11" s="54">
        <v>10</v>
      </c>
      <c r="G11" s="55">
        <v>30</v>
      </c>
      <c r="H11" s="150"/>
      <c r="I11" s="75">
        <f t="shared" si="2"/>
        <v>9</v>
      </c>
      <c r="J11" s="54"/>
      <c r="K11" s="55"/>
      <c r="L11" s="150"/>
      <c r="M11" s="75">
        <f t="shared" si="3"/>
        <v>9</v>
      </c>
      <c r="N11" s="54">
        <v>16.8</v>
      </c>
      <c r="O11" s="55">
        <v>20</v>
      </c>
      <c r="P11" s="150">
        <v>1.5277777777777777E-2</v>
      </c>
      <c r="Q11" s="75">
        <f t="shared" si="4"/>
        <v>9</v>
      </c>
      <c r="R11" s="54">
        <v>10</v>
      </c>
      <c r="S11" s="55">
        <v>20</v>
      </c>
      <c r="T11" s="150"/>
      <c r="U11" s="75">
        <f t="shared" si="5"/>
        <v>9</v>
      </c>
      <c r="V11" s="54">
        <v>16.3</v>
      </c>
      <c r="W11" s="55">
        <v>70</v>
      </c>
      <c r="X11" s="150"/>
      <c r="Y11" s="75">
        <f t="shared" si="6"/>
        <v>9</v>
      </c>
      <c r="Z11" s="54"/>
      <c r="AA11" s="55"/>
      <c r="AB11" s="150"/>
      <c r="AC11" s="75">
        <f t="shared" si="7"/>
        <v>9</v>
      </c>
      <c r="AD11" s="54">
        <v>13.38</v>
      </c>
      <c r="AE11" s="55">
        <v>30</v>
      </c>
      <c r="AF11" s="150"/>
      <c r="AG11" s="75">
        <f t="shared" si="8"/>
        <v>9</v>
      </c>
      <c r="AH11" s="54">
        <v>17.91</v>
      </c>
      <c r="AI11" s="55">
        <v>375</v>
      </c>
      <c r="AJ11" s="150"/>
      <c r="AK11" s="75">
        <f t="shared" si="9"/>
        <v>9</v>
      </c>
      <c r="AL11" s="54">
        <v>60.76</v>
      </c>
      <c r="AM11" s="55">
        <v>182</v>
      </c>
      <c r="AN11" s="150"/>
      <c r="AO11" s="75">
        <f t="shared" si="10"/>
        <v>9</v>
      </c>
      <c r="AP11" s="54">
        <v>10</v>
      </c>
      <c r="AQ11" s="55">
        <v>30</v>
      </c>
      <c r="AR11" s="150"/>
      <c r="AS11" s="75">
        <f t="shared" si="11"/>
        <v>9</v>
      </c>
      <c r="AT11" s="54">
        <v>6</v>
      </c>
      <c r="AU11" s="55">
        <v>3</v>
      </c>
      <c r="AV11" s="150"/>
      <c r="AW11" s="67"/>
    </row>
    <row r="12" spans="1:49" s="49" customFormat="1" ht="11.25" x14ac:dyDescent="0.2">
      <c r="A12" s="73">
        <f t="shared" si="0"/>
        <v>10</v>
      </c>
      <c r="B12" s="54">
        <v>33.43</v>
      </c>
      <c r="C12" s="55">
        <v>100</v>
      </c>
      <c r="D12" s="150"/>
      <c r="E12" s="75">
        <f t="shared" si="1"/>
        <v>10</v>
      </c>
      <c r="F12" s="54"/>
      <c r="G12" s="55"/>
      <c r="H12" s="150"/>
      <c r="I12" s="75">
        <f t="shared" si="2"/>
        <v>10</v>
      </c>
      <c r="J12" s="54"/>
      <c r="K12" s="55"/>
      <c r="L12" s="150"/>
      <c r="M12" s="75">
        <f t="shared" si="3"/>
        <v>10</v>
      </c>
      <c r="N12" s="54">
        <v>42.470000000000006</v>
      </c>
      <c r="O12" s="55">
        <v>550</v>
      </c>
      <c r="P12" s="150"/>
      <c r="Q12" s="75">
        <f t="shared" si="4"/>
        <v>10</v>
      </c>
      <c r="R12" s="54"/>
      <c r="S12" s="55"/>
      <c r="T12" s="150"/>
      <c r="U12" s="75">
        <f t="shared" si="5"/>
        <v>10</v>
      </c>
      <c r="V12" s="54">
        <v>22.53</v>
      </c>
      <c r="W12" s="55">
        <v>143</v>
      </c>
      <c r="X12" s="150"/>
      <c r="Y12" s="75">
        <f t="shared" si="6"/>
        <v>10</v>
      </c>
      <c r="Z12" s="54"/>
      <c r="AA12" s="55"/>
      <c r="AB12" s="150"/>
      <c r="AC12" s="75">
        <f t="shared" si="7"/>
        <v>10</v>
      </c>
      <c r="AD12" s="54">
        <v>13.38</v>
      </c>
      <c r="AE12" s="55">
        <v>30</v>
      </c>
      <c r="AF12" s="150"/>
      <c r="AG12" s="75">
        <f t="shared" si="8"/>
        <v>10</v>
      </c>
      <c r="AH12" s="54">
        <v>64.08</v>
      </c>
      <c r="AI12" s="49">
        <v>920</v>
      </c>
      <c r="AJ12" s="150"/>
      <c r="AK12" s="75">
        <f t="shared" si="9"/>
        <v>10</v>
      </c>
      <c r="AL12" s="54">
        <v>10.19</v>
      </c>
      <c r="AM12" s="55">
        <v>20</v>
      </c>
      <c r="AN12" s="150"/>
      <c r="AO12" s="75">
        <f t="shared" si="10"/>
        <v>10</v>
      </c>
      <c r="AP12" s="54">
        <v>10</v>
      </c>
      <c r="AQ12" s="55">
        <v>30</v>
      </c>
      <c r="AR12" s="150"/>
      <c r="AS12" s="75">
        <f t="shared" si="11"/>
        <v>10</v>
      </c>
      <c r="AT12" s="54">
        <v>32.99</v>
      </c>
      <c r="AU12" s="55">
        <v>912</v>
      </c>
      <c r="AV12" s="150"/>
      <c r="AW12" s="67"/>
    </row>
    <row r="13" spans="1:49" s="49" customFormat="1" ht="11.25" x14ac:dyDescent="0.2">
      <c r="A13" s="73">
        <f t="shared" si="0"/>
        <v>11</v>
      </c>
      <c r="B13" s="54">
        <v>10</v>
      </c>
      <c r="C13" s="55">
        <v>15</v>
      </c>
      <c r="D13" s="150"/>
      <c r="E13" s="75">
        <f t="shared" si="1"/>
        <v>11</v>
      </c>
      <c r="F13" s="54">
        <v>13.15</v>
      </c>
      <c r="G13" s="55">
        <v>105</v>
      </c>
      <c r="H13" s="150"/>
      <c r="I13" s="75">
        <f t="shared" si="2"/>
        <v>11</v>
      </c>
      <c r="J13" s="54"/>
      <c r="K13" s="55"/>
      <c r="L13" s="150"/>
      <c r="M13" s="75">
        <f t="shared" si="3"/>
        <v>11</v>
      </c>
      <c r="N13" s="54">
        <v>15.120000000000001</v>
      </c>
      <c r="O13" s="55">
        <v>35</v>
      </c>
      <c r="P13" s="150"/>
      <c r="Q13" s="75">
        <f t="shared" si="4"/>
        <v>11</v>
      </c>
      <c r="R13" s="54">
        <v>17.45</v>
      </c>
      <c r="S13" s="55">
        <v>48</v>
      </c>
      <c r="T13" s="150"/>
      <c r="U13" s="75">
        <f t="shared" si="5"/>
        <v>11</v>
      </c>
      <c r="V13" s="54">
        <v>24.25</v>
      </c>
      <c r="W13" s="55">
        <v>86</v>
      </c>
      <c r="X13" s="150">
        <v>6.9444444444444441E-3</v>
      </c>
      <c r="Y13" s="75">
        <f t="shared" si="6"/>
        <v>11</v>
      </c>
      <c r="Z13" s="54"/>
      <c r="AA13" s="55"/>
      <c r="AB13" s="150"/>
      <c r="AC13" s="75">
        <f t="shared" si="7"/>
        <v>11</v>
      </c>
      <c r="AD13" s="54">
        <v>27.200000000000003</v>
      </c>
      <c r="AE13" s="55">
        <v>567</v>
      </c>
      <c r="AF13" s="150"/>
      <c r="AG13" s="75">
        <f t="shared" si="8"/>
        <v>11</v>
      </c>
      <c r="AH13" s="54">
        <v>43.230000000000004</v>
      </c>
      <c r="AI13" s="55">
        <v>318</v>
      </c>
      <c r="AJ13" s="150">
        <v>1.0416666666666666E-2</v>
      </c>
      <c r="AK13" s="75">
        <f t="shared" si="9"/>
        <v>11</v>
      </c>
      <c r="AL13" s="54">
        <v>5</v>
      </c>
      <c r="AM13" s="55">
        <v>20</v>
      </c>
      <c r="AN13" s="150"/>
      <c r="AO13" s="75">
        <f t="shared" si="10"/>
        <v>11</v>
      </c>
      <c r="AP13" s="54">
        <v>13.35</v>
      </c>
      <c r="AQ13" s="55">
        <v>45</v>
      </c>
      <c r="AR13" s="150"/>
      <c r="AS13" s="75">
        <f t="shared" si="11"/>
        <v>11</v>
      </c>
      <c r="AT13" s="54">
        <v>21.56</v>
      </c>
      <c r="AU13" s="55">
        <v>78</v>
      </c>
      <c r="AV13" s="150"/>
      <c r="AW13" s="67"/>
    </row>
    <row r="14" spans="1:49" s="49" customFormat="1" ht="11.25" x14ac:dyDescent="0.2">
      <c r="A14" s="73">
        <f t="shared" si="0"/>
        <v>12</v>
      </c>
      <c r="B14" s="54">
        <v>10</v>
      </c>
      <c r="C14" s="55">
        <v>15</v>
      </c>
      <c r="D14" s="150"/>
      <c r="E14" s="75">
        <f t="shared" si="1"/>
        <v>12</v>
      </c>
      <c r="F14" s="54">
        <v>14.3</v>
      </c>
      <c r="G14" s="55">
        <v>100</v>
      </c>
      <c r="H14" s="150"/>
      <c r="I14" s="75">
        <f t="shared" si="2"/>
        <v>12</v>
      </c>
      <c r="J14" s="54"/>
      <c r="K14" s="55"/>
      <c r="L14" s="150"/>
      <c r="M14" s="75">
        <f t="shared" si="3"/>
        <v>12</v>
      </c>
      <c r="N14" s="54">
        <v>6.5</v>
      </c>
      <c r="O14" s="55">
        <v>20</v>
      </c>
      <c r="P14" s="150"/>
      <c r="Q14" s="75">
        <f t="shared" si="4"/>
        <v>12</v>
      </c>
      <c r="R14" s="54">
        <v>11</v>
      </c>
      <c r="S14" s="55">
        <v>45</v>
      </c>
      <c r="T14" s="150"/>
      <c r="U14" s="75">
        <f t="shared" si="5"/>
        <v>12</v>
      </c>
      <c r="V14" s="54">
        <v>20</v>
      </c>
      <c r="W14" s="55">
        <v>26</v>
      </c>
      <c r="X14" s="150"/>
      <c r="Y14" s="75">
        <f t="shared" si="6"/>
        <v>12</v>
      </c>
      <c r="Z14" s="54"/>
      <c r="AA14" s="55"/>
      <c r="AB14" s="150"/>
      <c r="AC14" s="75">
        <f t="shared" si="7"/>
        <v>12</v>
      </c>
      <c r="AD14" s="54">
        <v>5</v>
      </c>
      <c r="AE14" s="78">
        <v>20</v>
      </c>
      <c r="AF14" s="150"/>
      <c r="AG14" s="75">
        <f t="shared" si="8"/>
        <v>12</v>
      </c>
      <c r="AH14" s="54">
        <v>21.2</v>
      </c>
      <c r="AI14" s="55">
        <v>100</v>
      </c>
      <c r="AJ14" s="150"/>
      <c r="AK14" s="75">
        <f t="shared" si="9"/>
        <v>12</v>
      </c>
      <c r="AL14" s="54">
        <v>14.48</v>
      </c>
      <c r="AM14" s="55">
        <v>32</v>
      </c>
      <c r="AN14" s="150"/>
      <c r="AO14" s="75">
        <f t="shared" si="10"/>
        <v>12</v>
      </c>
      <c r="AP14" s="54">
        <v>107</v>
      </c>
      <c r="AQ14" s="55">
        <v>220</v>
      </c>
      <c r="AR14" s="150"/>
      <c r="AS14" s="75">
        <f t="shared" si="11"/>
        <v>12</v>
      </c>
      <c r="AT14" s="54">
        <v>31.72</v>
      </c>
      <c r="AU14" s="55">
        <v>20</v>
      </c>
      <c r="AV14" s="150">
        <v>1.0416666666666666E-2</v>
      </c>
      <c r="AW14" s="67"/>
    </row>
    <row r="15" spans="1:49" s="49" customFormat="1" ht="11.25" x14ac:dyDescent="0.2">
      <c r="A15" s="73">
        <f t="shared" si="0"/>
        <v>13</v>
      </c>
      <c r="B15" s="54">
        <v>15.23</v>
      </c>
      <c r="C15" s="55">
        <v>60</v>
      </c>
      <c r="D15" s="150"/>
      <c r="E15" s="75">
        <f t="shared" si="1"/>
        <v>13</v>
      </c>
      <c r="F15" s="54">
        <v>26.22</v>
      </c>
      <c r="G15" s="55">
        <v>285</v>
      </c>
      <c r="H15" s="150"/>
      <c r="I15" s="75">
        <f t="shared" si="2"/>
        <v>13</v>
      </c>
      <c r="J15" s="54">
        <v>20.25</v>
      </c>
      <c r="K15" s="55">
        <v>10</v>
      </c>
      <c r="L15" s="150"/>
      <c r="M15" s="75">
        <f t="shared" si="3"/>
        <v>13</v>
      </c>
      <c r="N15" s="54"/>
      <c r="O15" s="55"/>
      <c r="P15" s="150"/>
      <c r="Q15" s="75">
        <f t="shared" si="4"/>
        <v>13</v>
      </c>
      <c r="R15" s="54">
        <v>18.48</v>
      </c>
      <c r="S15" s="55">
        <v>50</v>
      </c>
      <c r="T15" s="150"/>
      <c r="U15" s="75">
        <f t="shared" si="5"/>
        <v>13</v>
      </c>
      <c r="V15" s="54">
        <v>17</v>
      </c>
      <c r="W15" s="55">
        <v>68</v>
      </c>
      <c r="X15" s="150">
        <v>1.0416666666666666E-2</v>
      </c>
      <c r="Y15" s="75">
        <f t="shared" si="6"/>
        <v>13</v>
      </c>
      <c r="Z15" s="54"/>
      <c r="AA15" s="55"/>
      <c r="AB15" s="150"/>
      <c r="AC15" s="75">
        <f t="shared" si="7"/>
        <v>13</v>
      </c>
      <c r="AD15" s="54">
        <v>56.519999999999996</v>
      </c>
      <c r="AE15" s="55">
        <v>1320</v>
      </c>
      <c r="AF15" s="150"/>
      <c r="AG15" s="75">
        <f t="shared" si="8"/>
        <v>13</v>
      </c>
      <c r="AH15" s="54">
        <v>11.79</v>
      </c>
      <c r="AI15" s="55">
        <v>30</v>
      </c>
      <c r="AJ15" s="150"/>
      <c r="AK15" s="75">
        <f t="shared" si="9"/>
        <v>13</v>
      </c>
      <c r="AL15" s="54">
        <v>19.329999999999998</v>
      </c>
      <c r="AM15" s="55">
        <v>20</v>
      </c>
      <c r="AN15" s="150"/>
      <c r="AO15" s="75">
        <f t="shared" si="10"/>
        <v>13</v>
      </c>
      <c r="AP15" s="54">
        <v>32.520000000000003</v>
      </c>
      <c r="AQ15" s="55">
        <v>150</v>
      </c>
      <c r="AR15" s="150"/>
      <c r="AS15" s="75">
        <f t="shared" si="11"/>
        <v>13</v>
      </c>
      <c r="AT15" s="54"/>
      <c r="AU15" s="55"/>
      <c r="AV15" s="150"/>
      <c r="AW15" s="67"/>
    </row>
    <row r="16" spans="1:49" s="49" customFormat="1" ht="11.25" x14ac:dyDescent="0.2">
      <c r="A16" s="73">
        <f t="shared" si="0"/>
        <v>14</v>
      </c>
      <c r="B16" s="54">
        <v>15</v>
      </c>
      <c r="C16" s="55">
        <v>30</v>
      </c>
      <c r="D16" s="150"/>
      <c r="E16" s="75">
        <f t="shared" si="1"/>
        <v>14</v>
      </c>
      <c r="F16" s="54">
        <v>30.559999999999995</v>
      </c>
      <c r="G16" s="55">
        <v>232</v>
      </c>
      <c r="H16" s="150"/>
      <c r="I16" s="75">
        <f t="shared" si="2"/>
        <v>14</v>
      </c>
      <c r="J16" s="54">
        <v>11</v>
      </c>
      <c r="K16" s="55">
        <v>45</v>
      </c>
      <c r="L16" s="150"/>
      <c r="M16" s="75">
        <f t="shared" si="3"/>
        <v>14</v>
      </c>
      <c r="N16" s="54">
        <v>10.76</v>
      </c>
      <c r="O16" s="55">
        <v>72</v>
      </c>
      <c r="P16" s="150"/>
      <c r="Q16" s="75">
        <f t="shared" si="4"/>
        <v>14</v>
      </c>
      <c r="R16" s="54">
        <v>53.6</v>
      </c>
      <c r="S16" s="49">
        <v>590</v>
      </c>
      <c r="T16" s="150"/>
      <c r="U16" s="75">
        <f t="shared" si="5"/>
        <v>14</v>
      </c>
      <c r="V16" s="54">
        <v>21.330000000000002</v>
      </c>
      <c r="W16" s="55">
        <v>68</v>
      </c>
      <c r="X16" s="150">
        <v>1.0416666666666666E-2</v>
      </c>
      <c r="Y16" s="75">
        <f t="shared" si="6"/>
        <v>14</v>
      </c>
      <c r="Z16" s="54"/>
      <c r="AA16" s="55"/>
      <c r="AB16" s="150"/>
      <c r="AC16" s="75">
        <f t="shared" si="7"/>
        <v>14</v>
      </c>
      <c r="AD16" s="54">
        <v>111.31</v>
      </c>
      <c r="AE16" s="55">
        <v>1460</v>
      </c>
      <c r="AF16" s="150"/>
      <c r="AG16" s="75">
        <f t="shared" si="8"/>
        <v>14</v>
      </c>
      <c r="AH16" s="54">
        <v>23.25</v>
      </c>
      <c r="AI16" s="55">
        <v>110</v>
      </c>
      <c r="AJ16" s="150"/>
      <c r="AK16" s="75">
        <f t="shared" si="9"/>
        <v>14</v>
      </c>
      <c r="AL16" s="54">
        <v>16.38</v>
      </c>
      <c r="AM16" s="55">
        <v>90</v>
      </c>
      <c r="AN16" s="150"/>
      <c r="AO16" s="75">
        <f t="shared" si="10"/>
        <v>14</v>
      </c>
      <c r="AP16" s="54">
        <v>15.52</v>
      </c>
      <c r="AQ16" s="55">
        <v>70</v>
      </c>
      <c r="AR16" s="150"/>
      <c r="AS16" s="75">
        <f t="shared" si="11"/>
        <v>14</v>
      </c>
      <c r="AT16" s="54">
        <v>18.34</v>
      </c>
      <c r="AU16" s="55">
        <v>40</v>
      </c>
      <c r="AV16" s="150"/>
      <c r="AW16" s="67"/>
    </row>
    <row r="17" spans="1:49" s="49" customFormat="1" ht="11.25" x14ac:dyDescent="0.2">
      <c r="A17" s="73">
        <f t="shared" si="0"/>
        <v>15</v>
      </c>
      <c r="B17" s="54">
        <v>10</v>
      </c>
      <c r="C17" s="55">
        <v>15</v>
      </c>
      <c r="D17" s="150">
        <v>4.1666666666666664E-2</v>
      </c>
      <c r="E17" s="75">
        <f t="shared" si="1"/>
        <v>15</v>
      </c>
      <c r="F17" s="54">
        <v>10</v>
      </c>
      <c r="G17" s="55">
        <v>30</v>
      </c>
      <c r="H17" s="150"/>
      <c r="I17" s="75">
        <f t="shared" si="2"/>
        <v>15</v>
      </c>
      <c r="J17" s="54"/>
      <c r="K17" s="55"/>
      <c r="L17" s="150"/>
      <c r="M17" s="75">
        <f t="shared" si="3"/>
        <v>15</v>
      </c>
      <c r="N17" s="54">
        <v>16.27</v>
      </c>
      <c r="O17" s="55">
        <v>97</v>
      </c>
      <c r="P17" s="150"/>
      <c r="Q17" s="75">
        <f t="shared" si="4"/>
        <v>15</v>
      </c>
      <c r="R17" s="54"/>
      <c r="T17" s="150">
        <v>3.2638888888888891E-2</v>
      </c>
      <c r="U17" s="75">
        <f t="shared" si="5"/>
        <v>15</v>
      </c>
      <c r="V17" s="54">
        <v>13.38</v>
      </c>
      <c r="W17" s="55">
        <v>30</v>
      </c>
      <c r="X17" s="150"/>
      <c r="Y17" s="75">
        <f t="shared" si="6"/>
        <v>15</v>
      </c>
      <c r="Z17" s="54"/>
      <c r="AA17" s="55"/>
      <c r="AB17" s="150"/>
      <c r="AC17" s="75">
        <f t="shared" si="7"/>
        <v>15</v>
      </c>
      <c r="AD17" s="54">
        <v>66.929999999999993</v>
      </c>
      <c r="AE17" s="55">
        <v>752</v>
      </c>
      <c r="AF17" s="150"/>
      <c r="AG17" s="75">
        <f t="shared" si="8"/>
        <v>15</v>
      </c>
      <c r="AH17" s="54">
        <v>23.82</v>
      </c>
      <c r="AI17" s="55">
        <v>115</v>
      </c>
      <c r="AJ17" s="150"/>
      <c r="AK17" s="75">
        <f t="shared" si="9"/>
        <v>15</v>
      </c>
      <c r="AL17" s="54">
        <v>60.5</v>
      </c>
      <c r="AM17" s="55">
        <v>150</v>
      </c>
      <c r="AN17" s="150"/>
      <c r="AO17" s="75">
        <f t="shared" si="10"/>
        <v>15</v>
      </c>
      <c r="AP17" s="54"/>
      <c r="AQ17" s="55"/>
      <c r="AR17" s="150"/>
      <c r="AS17" s="75">
        <f t="shared" si="11"/>
        <v>15</v>
      </c>
      <c r="AT17" s="54">
        <v>14.05</v>
      </c>
      <c r="AU17" s="55">
        <v>85</v>
      </c>
      <c r="AV17" s="150"/>
      <c r="AW17" s="67"/>
    </row>
    <row r="18" spans="1:49" s="49" customFormat="1" ht="11.25" x14ac:dyDescent="0.2">
      <c r="A18" s="73">
        <f t="shared" si="0"/>
        <v>16</v>
      </c>
      <c r="B18" s="54">
        <v>23</v>
      </c>
      <c r="C18" s="55">
        <v>355</v>
      </c>
      <c r="D18" s="150"/>
      <c r="E18" s="75">
        <f t="shared" si="1"/>
        <v>16</v>
      </c>
      <c r="F18" s="54">
        <v>10</v>
      </c>
      <c r="G18" s="55">
        <v>30</v>
      </c>
      <c r="H18" s="150"/>
      <c r="I18" s="75">
        <f t="shared" si="2"/>
        <v>16</v>
      </c>
      <c r="J18" s="54">
        <v>19.2</v>
      </c>
      <c r="K18" s="55">
        <v>30</v>
      </c>
      <c r="L18" s="150"/>
      <c r="M18" s="75">
        <f t="shared" si="3"/>
        <v>16</v>
      </c>
      <c r="N18" s="54">
        <v>16.64</v>
      </c>
      <c r="O18" s="55">
        <v>12</v>
      </c>
      <c r="P18" s="150">
        <v>1.3888888888888888E-2</v>
      </c>
      <c r="Q18" s="75">
        <f t="shared" si="4"/>
        <v>16</v>
      </c>
      <c r="R18" s="54">
        <v>28.259999999999998</v>
      </c>
      <c r="S18" s="55">
        <v>80</v>
      </c>
      <c r="T18" s="150"/>
      <c r="U18" s="75">
        <f t="shared" si="5"/>
        <v>16</v>
      </c>
      <c r="V18" s="54">
        <v>25.1</v>
      </c>
      <c r="W18" s="55">
        <v>56</v>
      </c>
      <c r="X18" s="150"/>
      <c r="Y18" s="75">
        <f t="shared" si="6"/>
        <v>16</v>
      </c>
      <c r="Z18" s="54"/>
      <c r="AA18" s="55"/>
      <c r="AB18" s="150">
        <v>2.0833333333333332E-2</v>
      </c>
      <c r="AC18" s="75">
        <f t="shared" si="7"/>
        <v>16</v>
      </c>
      <c r="AD18" s="54">
        <v>9.0400000000000009</v>
      </c>
      <c r="AE18" s="55">
        <v>37</v>
      </c>
      <c r="AF18" s="150"/>
      <c r="AG18" s="75">
        <f t="shared" si="8"/>
        <v>16</v>
      </c>
      <c r="AH18" s="54">
        <v>11.38</v>
      </c>
      <c r="AI18" s="55">
        <v>55</v>
      </c>
      <c r="AJ18" s="150"/>
      <c r="AK18" s="75">
        <f t="shared" si="9"/>
        <v>16</v>
      </c>
      <c r="AL18" s="54">
        <v>50.59</v>
      </c>
      <c r="AM18" s="55">
        <v>270</v>
      </c>
      <c r="AN18" s="150"/>
      <c r="AO18" s="75">
        <f t="shared" si="10"/>
        <v>16</v>
      </c>
      <c r="AP18" s="54">
        <v>7.9</v>
      </c>
      <c r="AQ18" s="55">
        <v>20</v>
      </c>
      <c r="AR18" s="150">
        <v>1.0416666666666666E-2</v>
      </c>
      <c r="AS18" s="75">
        <f t="shared" si="11"/>
        <v>16</v>
      </c>
      <c r="AT18" s="54">
        <v>14.23</v>
      </c>
      <c r="AU18" s="55">
        <v>40</v>
      </c>
      <c r="AV18" s="150"/>
      <c r="AW18" s="67"/>
    </row>
    <row r="19" spans="1:49" s="49" customFormat="1" ht="11.25" x14ac:dyDescent="0.2">
      <c r="A19" s="73">
        <f t="shared" si="0"/>
        <v>17</v>
      </c>
      <c r="B19" s="54">
        <v>20.259999999999998</v>
      </c>
      <c r="C19" s="55">
        <v>75</v>
      </c>
      <c r="D19" s="150"/>
      <c r="E19" s="75">
        <f t="shared" si="1"/>
        <v>17</v>
      </c>
      <c r="F19" s="54">
        <v>10.5</v>
      </c>
      <c r="G19" s="55">
        <v>30</v>
      </c>
      <c r="H19" s="150"/>
      <c r="I19" s="75">
        <f t="shared" si="2"/>
        <v>17</v>
      </c>
      <c r="J19" s="54">
        <v>22.05</v>
      </c>
      <c r="K19" s="55">
        <v>127</v>
      </c>
      <c r="L19" s="150"/>
      <c r="M19" s="75">
        <f t="shared" si="3"/>
        <v>17</v>
      </c>
      <c r="N19" s="54">
        <v>16.600000000000001</v>
      </c>
      <c r="O19" s="55">
        <v>68</v>
      </c>
      <c r="P19" s="150">
        <v>4.1666666666666664E-2</v>
      </c>
      <c r="Q19" s="75">
        <f t="shared" si="4"/>
        <v>17</v>
      </c>
      <c r="R19" s="54">
        <v>13.65</v>
      </c>
      <c r="S19" s="55">
        <v>30</v>
      </c>
      <c r="T19" s="150"/>
      <c r="U19" s="75">
        <f t="shared" si="5"/>
        <v>17</v>
      </c>
      <c r="V19" s="54">
        <v>22.074999999999999</v>
      </c>
      <c r="W19" s="55">
        <v>50</v>
      </c>
      <c r="X19" s="150"/>
      <c r="Y19" s="75">
        <f t="shared" si="6"/>
        <v>17</v>
      </c>
      <c r="Z19" s="54">
        <v>43.6</v>
      </c>
      <c r="AA19" s="55">
        <v>1030</v>
      </c>
      <c r="AB19" s="150"/>
      <c r="AC19" s="75">
        <f t="shared" si="7"/>
        <v>17</v>
      </c>
      <c r="AD19" s="54">
        <v>5</v>
      </c>
      <c r="AE19" s="55">
        <v>20</v>
      </c>
      <c r="AF19" s="150"/>
      <c r="AG19" s="75">
        <f t="shared" si="8"/>
        <v>17</v>
      </c>
      <c r="AH19" s="54">
        <v>62.3</v>
      </c>
      <c r="AI19" s="55">
        <v>163</v>
      </c>
      <c r="AJ19" s="150"/>
      <c r="AK19" s="75">
        <f t="shared" si="9"/>
        <v>17</v>
      </c>
      <c r="AL19" s="54">
        <v>14</v>
      </c>
      <c r="AM19" s="55">
        <v>115</v>
      </c>
      <c r="AN19" s="150"/>
      <c r="AO19" s="75">
        <f t="shared" si="10"/>
        <v>17</v>
      </c>
      <c r="AP19" s="54">
        <v>10.11</v>
      </c>
      <c r="AQ19" s="55">
        <v>30</v>
      </c>
      <c r="AR19" s="150"/>
      <c r="AS19" s="75">
        <f t="shared" si="11"/>
        <v>17</v>
      </c>
      <c r="AT19" s="54">
        <v>22.68</v>
      </c>
      <c r="AU19" s="55">
        <v>20</v>
      </c>
      <c r="AV19" s="150">
        <v>1.0416666666666666E-2</v>
      </c>
      <c r="AW19" s="67"/>
    </row>
    <row r="20" spans="1:49" s="49" customFormat="1" ht="11.25" x14ac:dyDescent="0.2">
      <c r="A20" s="73">
        <f t="shared" si="0"/>
        <v>18</v>
      </c>
      <c r="B20" s="54">
        <v>11.14</v>
      </c>
      <c r="C20" s="55">
        <v>38</v>
      </c>
      <c r="D20" s="150"/>
      <c r="E20" s="75">
        <f t="shared" si="1"/>
        <v>18</v>
      </c>
      <c r="F20" s="54">
        <v>24.66</v>
      </c>
      <c r="G20" s="55">
        <v>25</v>
      </c>
      <c r="H20" s="150"/>
      <c r="I20" s="75">
        <f t="shared" si="2"/>
        <v>18</v>
      </c>
      <c r="J20" s="54">
        <v>19.2</v>
      </c>
      <c r="K20" s="55">
        <v>64</v>
      </c>
      <c r="L20" s="150"/>
      <c r="M20" s="75">
        <f t="shared" si="3"/>
        <v>18</v>
      </c>
      <c r="N20" s="54">
        <v>11</v>
      </c>
      <c r="O20" s="55">
        <v>30</v>
      </c>
      <c r="P20" s="150"/>
      <c r="Q20" s="75">
        <f t="shared" si="4"/>
        <v>18</v>
      </c>
      <c r="R20" s="54">
        <v>14.385</v>
      </c>
      <c r="S20" s="55">
        <v>30</v>
      </c>
      <c r="T20" s="150"/>
      <c r="U20" s="75">
        <f t="shared" si="5"/>
        <v>18</v>
      </c>
      <c r="V20" s="54">
        <v>15.225</v>
      </c>
      <c r="W20" s="55">
        <v>80</v>
      </c>
      <c r="X20" s="150"/>
      <c r="Y20" s="75">
        <f t="shared" si="6"/>
        <v>18</v>
      </c>
      <c r="Z20" s="54">
        <v>10</v>
      </c>
      <c r="AA20" s="55">
        <v>30</v>
      </c>
      <c r="AB20" s="150"/>
      <c r="AC20" s="75">
        <f t="shared" si="7"/>
        <v>18</v>
      </c>
      <c r="AD20" s="54">
        <v>19.5</v>
      </c>
      <c r="AE20" s="55">
        <v>40</v>
      </c>
      <c r="AF20" s="150"/>
      <c r="AG20" s="75">
        <f t="shared" si="8"/>
        <v>18</v>
      </c>
      <c r="AH20" s="54"/>
      <c r="AI20" s="55"/>
      <c r="AJ20" s="150">
        <v>4.6527777777777779E-2</v>
      </c>
      <c r="AK20" s="75">
        <f t="shared" si="9"/>
        <v>18</v>
      </c>
      <c r="AL20" s="54">
        <v>10</v>
      </c>
      <c r="AM20" s="55">
        <v>5</v>
      </c>
      <c r="AN20" s="150"/>
      <c r="AO20" s="75">
        <f t="shared" si="10"/>
        <v>18</v>
      </c>
      <c r="AP20" s="54">
        <v>11.31</v>
      </c>
      <c r="AQ20" s="55">
        <v>40</v>
      </c>
      <c r="AR20" s="150"/>
      <c r="AS20" s="75">
        <f t="shared" si="11"/>
        <v>18</v>
      </c>
      <c r="AT20" s="54">
        <v>30.3</v>
      </c>
      <c r="AU20" s="55">
        <v>270</v>
      </c>
      <c r="AV20" s="150"/>
      <c r="AW20" s="67"/>
    </row>
    <row r="21" spans="1:49" s="49" customFormat="1" ht="11.25" x14ac:dyDescent="0.2">
      <c r="A21" s="73">
        <f t="shared" si="0"/>
        <v>19</v>
      </c>
      <c r="B21" s="54">
        <v>10</v>
      </c>
      <c r="C21" s="55">
        <v>15</v>
      </c>
      <c r="D21" s="150"/>
      <c r="E21" s="75">
        <f t="shared" si="1"/>
        <v>19</v>
      </c>
      <c r="F21" s="54">
        <v>12.45</v>
      </c>
      <c r="G21" s="55">
        <v>45</v>
      </c>
      <c r="H21" s="150"/>
      <c r="I21" s="75">
        <f t="shared" si="2"/>
        <v>19</v>
      </c>
      <c r="J21" s="54">
        <v>101.2</v>
      </c>
      <c r="K21" s="55">
        <v>190</v>
      </c>
      <c r="L21" s="150"/>
      <c r="M21" s="75">
        <f t="shared" si="3"/>
        <v>19</v>
      </c>
      <c r="N21" s="54">
        <v>10</v>
      </c>
      <c r="O21" s="55">
        <v>30</v>
      </c>
      <c r="P21" s="150"/>
      <c r="Q21" s="75">
        <f t="shared" si="4"/>
        <v>19</v>
      </c>
      <c r="R21" s="54">
        <v>10</v>
      </c>
      <c r="S21" s="55">
        <v>3</v>
      </c>
      <c r="T21" s="150"/>
      <c r="U21" s="75">
        <f t="shared" si="5"/>
        <v>19</v>
      </c>
      <c r="V21" s="54"/>
      <c r="W21" s="55"/>
      <c r="X21" s="150"/>
      <c r="Y21" s="75">
        <f t="shared" si="6"/>
        <v>19</v>
      </c>
      <c r="Z21" s="54">
        <v>10</v>
      </c>
      <c r="AA21" s="55">
        <v>30</v>
      </c>
      <c r="AB21" s="150"/>
      <c r="AC21" s="75">
        <f t="shared" si="7"/>
        <v>19</v>
      </c>
      <c r="AD21" s="54">
        <v>22.400000000000002</v>
      </c>
      <c r="AE21" s="55">
        <v>465</v>
      </c>
      <c r="AF21" s="150"/>
      <c r="AG21" s="75">
        <f t="shared" si="8"/>
        <v>19</v>
      </c>
      <c r="AH21" s="54">
        <v>19.48</v>
      </c>
      <c r="AI21" s="55">
        <v>70</v>
      </c>
      <c r="AJ21" s="150"/>
      <c r="AK21" s="75">
        <f t="shared" si="9"/>
        <v>19</v>
      </c>
      <c r="AL21" s="54">
        <v>15.94</v>
      </c>
      <c r="AM21" s="55">
        <v>15</v>
      </c>
      <c r="AN21" s="150"/>
      <c r="AO21" s="75">
        <f t="shared" si="10"/>
        <v>19</v>
      </c>
      <c r="AP21" s="54">
        <v>14.36</v>
      </c>
      <c r="AQ21" s="55">
        <v>343</v>
      </c>
      <c r="AR21" s="150"/>
      <c r="AS21" s="75">
        <f t="shared" si="11"/>
        <v>19</v>
      </c>
      <c r="AT21" s="54">
        <v>37.299999999999997</v>
      </c>
      <c r="AU21" s="55">
        <v>153</v>
      </c>
      <c r="AV21" s="150"/>
      <c r="AW21" s="67"/>
    </row>
    <row r="22" spans="1:49" s="49" customFormat="1" ht="11.25" x14ac:dyDescent="0.2">
      <c r="A22" s="73">
        <f t="shared" si="0"/>
        <v>20</v>
      </c>
      <c r="B22" s="54">
        <v>12.5</v>
      </c>
      <c r="C22" s="55">
        <v>31</v>
      </c>
      <c r="D22" s="150"/>
      <c r="E22" s="75">
        <f t="shared" si="1"/>
        <v>20</v>
      </c>
      <c r="F22" s="54">
        <v>20</v>
      </c>
      <c r="G22" s="55">
        <v>35</v>
      </c>
      <c r="H22" s="150"/>
      <c r="I22" s="75">
        <f t="shared" si="2"/>
        <v>20</v>
      </c>
      <c r="J22" s="54">
        <v>23.65</v>
      </c>
      <c r="K22" s="55">
        <v>230</v>
      </c>
      <c r="L22" s="150"/>
      <c r="M22" s="75">
        <f t="shared" si="3"/>
        <v>20</v>
      </c>
      <c r="N22" s="54">
        <v>14.26</v>
      </c>
      <c r="O22" s="55">
        <v>75</v>
      </c>
      <c r="P22" s="150"/>
      <c r="Q22" s="75">
        <f t="shared" si="4"/>
        <v>20</v>
      </c>
      <c r="R22" s="54">
        <v>14</v>
      </c>
      <c r="S22" s="55">
        <v>60</v>
      </c>
      <c r="T22" s="150"/>
      <c r="U22" s="75">
        <f t="shared" si="5"/>
        <v>20</v>
      </c>
      <c r="V22" s="54">
        <v>61.444999999999993</v>
      </c>
      <c r="W22" s="55">
        <v>392</v>
      </c>
      <c r="X22" s="150"/>
      <c r="Y22" s="75">
        <f t="shared" si="6"/>
        <v>20</v>
      </c>
      <c r="Z22" s="54">
        <v>15.2</v>
      </c>
      <c r="AA22" s="55">
        <v>215</v>
      </c>
      <c r="AB22" s="150"/>
      <c r="AC22" s="75">
        <f t="shared" si="7"/>
        <v>20</v>
      </c>
      <c r="AD22" s="54">
        <v>10</v>
      </c>
      <c r="AE22" s="55">
        <v>20</v>
      </c>
      <c r="AF22" s="150">
        <v>1.0416666666666666E-2</v>
      </c>
      <c r="AG22" s="75">
        <f t="shared" si="8"/>
        <v>20</v>
      </c>
      <c r="AH22" s="54">
        <v>21.2</v>
      </c>
      <c r="AI22" s="55">
        <v>100</v>
      </c>
      <c r="AJ22" s="150"/>
      <c r="AK22" s="75">
        <f t="shared" si="9"/>
        <v>20</v>
      </c>
      <c r="AL22" s="54">
        <v>5</v>
      </c>
      <c r="AM22" s="55">
        <v>3</v>
      </c>
      <c r="AN22" s="150"/>
      <c r="AO22" s="75">
        <f t="shared" si="10"/>
        <v>20</v>
      </c>
      <c r="AP22" s="54">
        <v>62.83</v>
      </c>
      <c r="AQ22" s="55">
        <v>410</v>
      </c>
      <c r="AR22" s="150"/>
      <c r="AS22" s="75">
        <f t="shared" si="11"/>
        <v>20</v>
      </c>
      <c r="AT22" s="54">
        <v>10.1</v>
      </c>
      <c r="AU22" s="55">
        <v>25</v>
      </c>
      <c r="AV22" s="150"/>
      <c r="AW22" s="67"/>
    </row>
    <row r="23" spans="1:49" s="49" customFormat="1" ht="11.25" x14ac:dyDescent="0.2">
      <c r="A23" s="73">
        <f t="shared" si="0"/>
        <v>21</v>
      </c>
      <c r="B23" s="54">
        <v>11</v>
      </c>
      <c r="C23" s="55">
        <v>45</v>
      </c>
      <c r="D23" s="150"/>
      <c r="E23" s="75">
        <f t="shared" si="1"/>
        <v>21</v>
      </c>
      <c r="F23" s="54">
        <v>15</v>
      </c>
      <c r="G23" s="55">
        <v>30</v>
      </c>
      <c r="H23" s="150">
        <v>1.7361111111111112E-2</v>
      </c>
      <c r="I23" s="75">
        <f t="shared" si="2"/>
        <v>21</v>
      </c>
      <c r="J23" s="54">
        <v>5</v>
      </c>
      <c r="K23" s="55">
        <v>3</v>
      </c>
      <c r="L23" s="150"/>
      <c r="M23" s="75">
        <f t="shared" si="3"/>
        <v>21</v>
      </c>
      <c r="N23" s="54">
        <v>14</v>
      </c>
      <c r="O23" s="55">
        <v>100</v>
      </c>
      <c r="P23" s="150"/>
      <c r="Q23" s="75">
        <f t="shared" si="4"/>
        <v>21</v>
      </c>
      <c r="R23" s="54">
        <v>75.040000000000006</v>
      </c>
      <c r="S23" s="55">
        <v>1106</v>
      </c>
      <c r="T23" s="150">
        <v>1.0416666666666666E-2</v>
      </c>
      <c r="U23" s="75">
        <f t="shared" si="5"/>
        <v>21</v>
      </c>
      <c r="V23" s="54">
        <v>34</v>
      </c>
      <c r="W23" s="55">
        <v>57</v>
      </c>
      <c r="X23" s="150"/>
      <c r="Y23" s="75">
        <f t="shared" si="6"/>
        <v>21</v>
      </c>
      <c r="Z23" s="54">
        <v>5</v>
      </c>
      <c r="AA23" s="55">
        <v>20</v>
      </c>
      <c r="AB23" s="150"/>
      <c r="AC23" s="75">
        <f t="shared" si="7"/>
        <v>21</v>
      </c>
      <c r="AD23" s="54">
        <v>27.31</v>
      </c>
      <c r="AE23" s="55">
        <v>70</v>
      </c>
      <c r="AF23" s="150">
        <v>1.0416666666666666E-2</v>
      </c>
      <c r="AG23" s="75">
        <f t="shared" si="8"/>
        <v>21</v>
      </c>
      <c r="AH23" s="54">
        <v>22.83</v>
      </c>
      <c r="AI23" s="55">
        <v>172</v>
      </c>
      <c r="AJ23" s="150"/>
      <c r="AK23" s="75">
        <f t="shared" si="9"/>
        <v>21</v>
      </c>
      <c r="AL23" s="54">
        <v>16.350000000000001</v>
      </c>
      <c r="AM23" s="55">
        <v>335</v>
      </c>
      <c r="AN23" s="150"/>
      <c r="AO23" s="75">
        <f t="shared" si="10"/>
        <v>21</v>
      </c>
      <c r="AP23" s="54">
        <v>32.35</v>
      </c>
      <c r="AQ23" s="55">
        <v>275</v>
      </c>
      <c r="AR23" s="150"/>
      <c r="AS23" s="75">
        <f t="shared" si="11"/>
        <v>21</v>
      </c>
      <c r="AT23" s="54">
        <v>14.52</v>
      </c>
      <c r="AU23" s="55">
        <v>45</v>
      </c>
      <c r="AV23" s="150"/>
      <c r="AW23" s="67"/>
    </row>
    <row r="24" spans="1:49" s="49" customFormat="1" ht="11.25" x14ac:dyDescent="0.2">
      <c r="A24" s="73">
        <f t="shared" si="0"/>
        <v>22</v>
      </c>
      <c r="B24" s="54">
        <v>10.14</v>
      </c>
      <c r="C24" s="55">
        <v>35</v>
      </c>
      <c r="D24" s="150"/>
      <c r="E24" s="75">
        <f t="shared" si="1"/>
        <v>22</v>
      </c>
      <c r="F24" s="54">
        <v>29.11</v>
      </c>
      <c r="G24" s="55">
        <v>167</v>
      </c>
      <c r="H24" s="150"/>
      <c r="I24" s="75">
        <f t="shared" si="2"/>
        <v>22</v>
      </c>
      <c r="J24" s="54">
        <v>19.2</v>
      </c>
      <c r="K24" s="55">
        <v>30</v>
      </c>
      <c r="L24" s="150"/>
      <c r="M24" s="75">
        <f t="shared" si="3"/>
        <v>22</v>
      </c>
      <c r="Q24" s="75">
        <f t="shared" si="4"/>
        <v>22</v>
      </c>
      <c r="R24" s="54">
        <v>91.59</v>
      </c>
      <c r="S24" s="49">
        <v>1143</v>
      </c>
      <c r="T24" s="150"/>
      <c r="U24" s="75">
        <f t="shared" si="5"/>
        <v>22</v>
      </c>
      <c r="V24" s="54">
        <v>29.66</v>
      </c>
      <c r="W24" s="55">
        <v>25</v>
      </c>
      <c r="X24" s="150"/>
      <c r="Y24" s="75">
        <f t="shared" si="6"/>
        <v>22</v>
      </c>
      <c r="Z24" s="54">
        <v>11.94</v>
      </c>
      <c r="AA24" s="55">
        <v>63</v>
      </c>
      <c r="AB24" s="150"/>
      <c r="AC24" s="75">
        <f t="shared" si="7"/>
        <v>22</v>
      </c>
      <c r="AD24" s="54">
        <v>11.33</v>
      </c>
      <c r="AE24" s="55">
        <v>45</v>
      </c>
      <c r="AF24" s="150"/>
      <c r="AG24" s="75">
        <f t="shared" si="8"/>
        <v>22</v>
      </c>
      <c r="AH24" s="54">
        <v>21.1</v>
      </c>
      <c r="AI24" s="55">
        <v>360</v>
      </c>
      <c r="AJ24" s="150"/>
      <c r="AK24" s="75">
        <f t="shared" si="9"/>
        <v>22</v>
      </c>
      <c r="AL24" s="54">
        <v>18.13</v>
      </c>
      <c r="AM24" s="55">
        <v>35</v>
      </c>
      <c r="AN24" s="150"/>
      <c r="AO24" s="75">
        <f t="shared" si="10"/>
        <v>22</v>
      </c>
      <c r="AP24" s="54">
        <v>12.7</v>
      </c>
      <c r="AQ24" s="55">
        <v>40</v>
      </c>
      <c r="AR24" s="150"/>
      <c r="AS24" s="75">
        <f t="shared" si="11"/>
        <v>22</v>
      </c>
      <c r="AT24" s="54">
        <v>13.51</v>
      </c>
      <c r="AU24" s="55">
        <v>50</v>
      </c>
      <c r="AV24" s="150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50"/>
      <c r="E25" s="75">
        <f t="shared" si="1"/>
        <v>23</v>
      </c>
      <c r="F25" s="54"/>
      <c r="G25" s="55"/>
      <c r="H25" s="150"/>
      <c r="I25" s="75">
        <f t="shared" si="2"/>
        <v>23</v>
      </c>
      <c r="J25" s="54">
        <v>19.2</v>
      </c>
      <c r="K25" s="55">
        <v>30</v>
      </c>
      <c r="L25" s="150"/>
      <c r="M25" s="75">
        <f t="shared" si="3"/>
        <v>23</v>
      </c>
      <c r="N25" s="54">
        <v>50</v>
      </c>
      <c r="O25" s="55">
        <v>135</v>
      </c>
      <c r="P25" s="150">
        <v>1.0416666666666666E-2</v>
      </c>
      <c r="Q25" s="75">
        <f t="shared" si="4"/>
        <v>23</v>
      </c>
      <c r="R25" s="54">
        <v>5</v>
      </c>
      <c r="S25" s="55">
        <v>3</v>
      </c>
      <c r="T25" s="150"/>
      <c r="U25" s="75">
        <f t="shared" si="5"/>
        <v>23</v>
      </c>
      <c r="V25" s="54">
        <v>16.484999999999999</v>
      </c>
      <c r="W25" s="55">
        <v>148</v>
      </c>
      <c r="X25" s="150"/>
      <c r="Y25" s="75">
        <f t="shared" si="6"/>
        <v>23</v>
      </c>
      <c r="Z25" s="54">
        <v>10</v>
      </c>
      <c r="AA25" s="55">
        <v>40</v>
      </c>
      <c r="AB25" s="150"/>
      <c r="AC25" s="75">
        <f t="shared" si="7"/>
        <v>23</v>
      </c>
      <c r="AD25" s="54">
        <v>22</v>
      </c>
      <c r="AE25" s="55">
        <v>424</v>
      </c>
      <c r="AF25" s="150"/>
      <c r="AG25" s="75">
        <f t="shared" si="8"/>
        <v>23</v>
      </c>
      <c r="AH25" s="54">
        <v>20.420000000000002</v>
      </c>
      <c r="AI25" s="55">
        <v>105</v>
      </c>
      <c r="AJ25" s="150"/>
      <c r="AK25" s="75">
        <f t="shared" si="9"/>
        <v>23</v>
      </c>
      <c r="AL25" s="54">
        <v>50.44</v>
      </c>
      <c r="AM25" s="55">
        <v>302</v>
      </c>
      <c r="AN25" s="150">
        <v>3.5416666666666666E-2</v>
      </c>
      <c r="AO25" s="75">
        <f t="shared" si="10"/>
        <v>23</v>
      </c>
      <c r="AP25" s="54">
        <v>10.4</v>
      </c>
      <c r="AQ25" s="55">
        <v>25</v>
      </c>
      <c r="AR25" s="150"/>
      <c r="AS25" s="75">
        <f t="shared" si="11"/>
        <v>23</v>
      </c>
      <c r="AT25" s="54">
        <v>10.39</v>
      </c>
      <c r="AU25" s="55">
        <v>185</v>
      </c>
      <c r="AV25" s="150"/>
      <c r="AW25" s="67"/>
    </row>
    <row r="26" spans="1:49" s="49" customFormat="1" ht="11.25" x14ac:dyDescent="0.2">
      <c r="A26" s="73">
        <f t="shared" si="0"/>
        <v>24</v>
      </c>
      <c r="B26" s="54"/>
      <c r="C26" s="55"/>
      <c r="D26" s="150"/>
      <c r="E26" s="75">
        <f t="shared" si="1"/>
        <v>24</v>
      </c>
      <c r="F26" s="54"/>
      <c r="G26" s="55"/>
      <c r="H26" s="150"/>
      <c r="I26" s="75">
        <f t="shared" si="2"/>
        <v>24</v>
      </c>
      <c r="J26" s="54">
        <v>5</v>
      </c>
      <c r="K26" s="55">
        <v>3</v>
      </c>
      <c r="L26" s="150"/>
      <c r="M26" s="75">
        <f t="shared" si="3"/>
        <v>24</v>
      </c>
      <c r="N26" s="54">
        <v>53.66</v>
      </c>
      <c r="O26" s="55">
        <v>568</v>
      </c>
      <c r="P26" s="150"/>
      <c r="Q26" s="75">
        <f t="shared" si="4"/>
        <v>24</v>
      </c>
      <c r="R26" s="54">
        <v>5</v>
      </c>
      <c r="S26" s="55">
        <v>20</v>
      </c>
      <c r="T26" s="150"/>
      <c r="U26" s="75">
        <f t="shared" si="5"/>
        <v>24</v>
      </c>
      <c r="V26" s="54">
        <v>75.95</v>
      </c>
      <c r="W26" s="55">
        <v>773</v>
      </c>
      <c r="X26" s="150"/>
      <c r="Y26" s="75">
        <f t="shared" si="6"/>
        <v>24</v>
      </c>
      <c r="Z26" s="54">
        <v>141.72</v>
      </c>
      <c r="AA26" s="55">
        <v>1479</v>
      </c>
      <c r="AB26" s="150"/>
      <c r="AC26" s="75">
        <f t="shared" si="7"/>
        <v>24</v>
      </c>
      <c r="AD26" s="54">
        <v>38.96</v>
      </c>
      <c r="AE26" s="55">
        <v>587</v>
      </c>
      <c r="AF26" s="150"/>
      <c r="AG26" s="75">
        <f t="shared" si="8"/>
        <v>24</v>
      </c>
      <c r="AH26" s="54">
        <v>38.57</v>
      </c>
      <c r="AI26" s="55">
        <v>260</v>
      </c>
      <c r="AJ26" s="150"/>
      <c r="AK26" s="75">
        <f t="shared" si="9"/>
        <v>24</v>
      </c>
      <c r="AL26" s="54">
        <v>10.31</v>
      </c>
      <c r="AM26" s="55">
        <v>25</v>
      </c>
      <c r="AN26" s="150"/>
      <c r="AO26" s="75">
        <f t="shared" si="10"/>
        <v>24</v>
      </c>
      <c r="AP26" s="54">
        <v>20.329999999999998</v>
      </c>
      <c r="AQ26" s="55">
        <v>50</v>
      </c>
      <c r="AR26" s="150"/>
      <c r="AS26" s="75">
        <f t="shared" si="11"/>
        <v>24</v>
      </c>
      <c r="AT26" s="54">
        <v>6.17</v>
      </c>
      <c r="AU26" s="55">
        <v>3</v>
      </c>
      <c r="AV26" s="150">
        <v>1.5277777777777777E-2</v>
      </c>
      <c r="AW26" s="67"/>
    </row>
    <row r="27" spans="1:49" s="49" customFormat="1" ht="11.25" x14ac:dyDescent="0.2">
      <c r="A27" s="73">
        <f t="shared" si="0"/>
        <v>25</v>
      </c>
      <c r="B27" s="54"/>
      <c r="C27" s="55"/>
      <c r="D27" s="150"/>
      <c r="E27" s="75">
        <f t="shared" si="1"/>
        <v>25</v>
      </c>
      <c r="F27" s="54">
        <v>11.23</v>
      </c>
      <c r="G27" s="55">
        <v>45</v>
      </c>
      <c r="H27" s="150"/>
      <c r="I27" s="75">
        <f t="shared" si="2"/>
        <v>25</v>
      </c>
      <c r="J27" s="54"/>
      <c r="K27" s="55"/>
      <c r="L27" s="150">
        <v>1.0416666666666666E-2</v>
      </c>
      <c r="M27" s="75">
        <f t="shared" si="3"/>
        <v>25</v>
      </c>
      <c r="N27" s="54">
        <v>10</v>
      </c>
      <c r="O27" s="55">
        <v>30</v>
      </c>
      <c r="P27" s="150"/>
      <c r="Q27" s="75">
        <f t="shared" si="4"/>
        <v>25</v>
      </c>
      <c r="R27" s="54">
        <v>11</v>
      </c>
      <c r="S27" s="55">
        <v>45</v>
      </c>
      <c r="T27" s="150"/>
      <c r="U27" s="75">
        <f t="shared" si="5"/>
        <v>25</v>
      </c>
      <c r="V27" s="54">
        <v>22.650000000000002</v>
      </c>
      <c r="W27" s="55">
        <v>54</v>
      </c>
      <c r="X27" s="150">
        <v>6.9444444444444441E-3</v>
      </c>
      <c r="Y27" s="75">
        <f t="shared" si="6"/>
        <v>25</v>
      </c>
      <c r="Z27" s="54">
        <v>10</v>
      </c>
      <c r="AA27" s="55">
        <v>30</v>
      </c>
      <c r="AB27" s="150"/>
      <c r="AC27" s="75">
        <f t="shared" si="7"/>
        <v>25</v>
      </c>
      <c r="AD27" s="54">
        <v>19.3</v>
      </c>
      <c r="AE27" s="55">
        <v>368</v>
      </c>
      <c r="AF27" s="150">
        <v>1.0416666666666666E-2</v>
      </c>
      <c r="AG27" s="75">
        <f t="shared" si="8"/>
        <v>25</v>
      </c>
      <c r="AH27" s="54">
        <v>63.45</v>
      </c>
      <c r="AI27" s="55">
        <v>840</v>
      </c>
      <c r="AJ27" s="150"/>
      <c r="AK27" s="75">
        <f t="shared" si="9"/>
        <v>25</v>
      </c>
      <c r="AL27" s="54">
        <v>11</v>
      </c>
      <c r="AM27" s="55">
        <v>45</v>
      </c>
      <c r="AN27" s="150"/>
      <c r="AO27" s="75">
        <f t="shared" si="10"/>
        <v>25</v>
      </c>
      <c r="AP27" s="54">
        <v>16</v>
      </c>
      <c r="AQ27" s="55">
        <v>20</v>
      </c>
      <c r="AR27" s="150"/>
      <c r="AS27" s="75">
        <f t="shared" si="11"/>
        <v>25</v>
      </c>
      <c r="AT27" s="54">
        <v>10.36</v>
      </c>
      <c r="AU27" s="55">
        <v>80</v>
      </c>
      <c r="AV27" s="150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50"/>
      <c r="E28" s="75">
        <f t="shared" si="1"/>
        <v>26</v>
      </c>
      <c r="F28" s="54">
        <v>10.73</v>
      </c>
      <c r="G28" s="55">
        <v>4</v>
      </c>
      <c r="H28" s="150"/>
      <c r="I28" s="75">
        <f t="shared" si="2"/>
        <v>26</v>
      </c>
      <c r="J28" s="54">
        <v>56.58</v>
      </c>
      <c r="K28" s="55">
        <v>710</v>
      </c>
      <c r="L28" s="150"/>
      <c r="M28" s="75">
        <f t="shared" si="3"/>
        <v>26</v>
      </c>
      <c r="N28" s="54">
        <v>5</v>
      </c>
      <c r="O28" s="55">
        <v>3</v>
      </c>
      <c r="P28" s="150"/>
      <c r="Q28" s="75">
        <f t="shared" si="4"/>
        <v>26</v>
      </c>
      <c r="R28" s="54">
        <v>45.45</v>
      </c>
      <c r="S28" s="55">
        <v>1080</v>
      </c>
      <c r="T28" s="150"/>
      <c r="U28" s="75">
        <f t="shared" si="5"/>
        <v>26</v>
      </c>
      <c r="V28" s="54">
        <v>10</v>
      </c>
      <c r="W28" s="55">
        <v>40</v>
      </c>
      <c r="X28" s="150">
        <v>2.2222222222222223E-2</v>
      </c>
      <c r="Y28" s="75">
        <f t="shared" si="6"/>
        <v>26</v>
      </c>
      <c r="Z28" s="54">
        <v>10</v>
      </c>
      <c r="AA28" s="55">
        <v>30</v>
      </c>
      <c r="AB28" s="150"/>
      <c r="AC28" s="75">
        <f t="shared" si="7"/>
        <v>26</v>
      </c>
      <c r="AD28" s="54">
        <v>28.599999999999998</v>
      </c>
      <c r="AE28" s="55">
        <v>587</v>
      </c>
      <c r="AF28" s="150"/>
      <c r="AG28" s="75">
        <f t="shared" si="8"/>
        <v>26</v>
      </c>
      <c r="AH28" s="54">
        <v>10.199999999999999</v>
      </c>
      <c r="AI28" s="55">
        <v>5</v>
      </c>
      <c r="AJ28" s="150">
        <v>1.0416666666666666E-2</v>
      </c>
      <c r="AK28" s="75">
        <f t="shared" si="9"/>
        <v>26</v>
      </c>
      <c r="AL28" s="54">
        <v>19.600000000000001</v>
      </c>
      <c r="AM28" s="55">
        <v>440</v>
      </c>
      <c r="AN28" s="150"/>
      <c r="AO28" s="75">
        <f t="shared" si="10"/>
        <v>26</v>
      </c>
      <c r="AP28" s="54">
        <v>65.8</v>
      </c>
      <c r="AQ28" s="55">
        <v>130</v>
      </c>
      <c r="AR28" s="150"/>
      <c r="AS28" s="75">
        <f t="shared" si="11"/>
        <v>26</v>
      </c>
      <c r="AT28" s="54">
        <v>20.72</v>
      </c>
      <c r="AU28" s="55">
        <v>160</v>
      </c>
      <c r="AV28" s="150">
        <v>1.0416666666666666E-2</v>
      </c>
      <c r="AW28" s="67"/>
    </row>
    <row r="29" spans="1:49" s="49" customFormat="1" ht="11.25" x14ac:dyDescent="0.2">
      <c r="A29" s="73">
        <f t="shared" si="0"/>
        <v>27</v>
      </c>
      <c r="B29" s="54"/>
      <c r="C29" s="55"/>
      <c r="D29" s="150"/>
      <c r="E29" s="75">
        <f t="shared" si="1"/>
        <v>27</v>
      </c>
      <c r="F29" s="54">
        <v>91.8</v>
      </c>
      <c r="G29" s="55">
        <v>794</v>
      </c>
      <c r="H29" s="150"/>
      <c r="I29" s="75">
        <f t="shared" si="2"/>
        <v>27</v>
      </c>
      <c r="J29" s="54">
        <v>11</v>
      </c>
      <c r="K29" s="55">
        <v>6</v>
      </c>
      <c r="L29" s="150"/>
      <c r="M29" s="75">
        <f t="shared" si="3"/>
        <v>27</v>
      </c>
      <c r="N29" s="54">
        <v>16.5</v>
      </c>
      <c r="O29" s="55">
        <v>90</v>
      </c>
      <c r="P29" s="150"/>
      <c r="Q29" s="75">
        <f t="shared" si="4"/>
        <v>27</v>
      </c>
      <c r="R29" s="54">
        <v>20.41</v>
      </c>
      <c r="S29" s="55">
        <v>65</v>
      </c>
      <c r="T29" s="150"/>
      <c r="U29" s="75">
        <f t="shared" si="5"/>
        <v>27</v>
      </c>
      <c r="V29" s="54">
        <v>30.3</v>
      </c>
      <c r="W29" s="55">
        <v>270</v>
      </c>
      <c r="X29" s="150">
        <v>2.0833333333333332E-2</v>
      </c>
      <c r="Y29" s="75">
        <f t="shared" si="6"/>
        <v>27</v>
      </c>
      <c r="Z29" s="54">
        <v>15.38</v>
      </c>
      <c r="AA29" s="55">
        <v>30</v>
      </c>
      <c r="AB29" s="150"/>
      <c r="AC29" s="75">
        <f t="shared" si="7"/>
        <v>27</v>
      </c>
      <c r="AD29" s="54">
        <v>71.41</v>
      </c>
      <c r="AE29" s="55">
        <v>845</v>
      </c>
      <c r="AF29" s="150"/>
      <c r="AG29" s="75">
        <f t="shared" si="8"/>
        <v>27</v>
      </c>
      <c r="AH29" s="54">
        <v>8.26</v>
      </c>
      <c r="AI29" s="55">
        <v>70</v>
      </c>
      <c r="AJ29" s="150"/>
      <c r="AK29" s="75">
        <f t="shared" si="9"/>
        <v>27</v>
      </c>
      <c r="AL29" s="54">
        <v>13.97</v>
      </c>
      <c r="AM29" s="55">
        <v>48</v>
      </c>
      <c r="AN29" s="150"/>
      <c r="AO29" s="75">
        <f t="shared" si="10"/>
        <v>27</v>
      </c>
      <c r="AP29" s="54">
        <v>22.46</v>
      </c>
      <c r="AQ29" s="55">
        <v>113</v>
      </c>
      <c r="AR29" s="150">
        <v>1.0416666666666666E-2</v>
      </c>
      <c r="AS29" s="75">
        <f t="shared" si="11"/>
        <v>27</v>
      </c>
      <c r="AT29" s="54">
        <v>19.39</v>
      </c>
      <c r="AU29" s="55">
        <v>30</v>
      </c>
      <c r="AV29" s="150"/>
      <c r="AW29" s="67"/>
    </row>
    <row r="30" spans="1:49" s="49" customFormat="1" ht="11.25" x14ac:dyDescent="0.2">
      <c r="A30" s="73">
        <f t="shared" si="0"/>
        <v>28</v>
      </c>
      <c r="B30" s="54"/>
      <c r="C30" s="55"/>
      <c r="D30" s="150"/>
      <c r="E30" s="75">
        <f t="shared" si="1"/>
        <v>28</v>
      </c>
      <c r="F30" s="54">
        <v>34.700000000000003</v>
      </c>
      <c r="G30" s="55">
        <v>193</v>
      </c>
      <c r="H30" s="150"/>
      <c r="I30" s="75">
        <f t="shared" si="2"/>
        <v>28</v>
      </c>
      <c r="J30" s="54">
        <v>53.839999999999996</v>
      </c>
      <c r="K30" s="55">
        <v>215</v>
      </c>
      <c r="L30" s="150"/>
      <c r="M30" s="75">
        <f t="shared" si="3"/>
        <v>28</v>
      </c>
      <c r="N30" s="54">
        <v>15</v>
      </c>
      <c r="O30" s="55">
        <v>65</v>
      </c>
      <c r="P30" s="150"/>
      <c r="Q30" s="75">
        <f t="shared" si="4"/>
        <v>28</v>
      </c>
      <c r="R30" s="54">
        <v>18.375</v>
      </c>
      <c r="S30" s="55">
        <v>120</v>
      </c>
      <c r="T30" s="150">
        <v>1.0416666666666666E-2</v>
      </c>
      <c r="U30" s="75">
        <f t="shared" si="5"/>
        <v>28</v>
      </c>
      <c r="V30" s="54">
        <v>31.35</v>
      </c>
      <c r="W30" s="55">
        <v>125</v>
      </c>
      <c r="X30" s="150"/>
      <c r="Y30" s="75">
        <f t="shared" si="6"/>
        <v>28</v>
      </c>
      <c r="Z30" s="54">
        <v>17.38</v>
      </c>
      <c r="AA30" s="55">
        <v>30</v>
      </c>
      <c r="AB30" s="150"/>
      <c r="AC30" s="75">
        <f t="shared" si="7"/>
        <v>28</v>
      </c>
      <c r="AD30" s="54">
        <v>72.509999999999991</v>
      </c>
      <c r="AE30" s="55">
        <v>698</v>
      </c>
      <c r="AF30" s="150">
        <v>1.0416666666666666E-2</v>
      </c>
      <c r="AG30" s="75">
        <f t="shared" si="8"/>
        <v>28</v>
      </c>
      <c r="AH30" s="54">
        <v>13.11</v>
      </c>
      <c r="AI30" s="55">
        <v>103</v>
      </c>
      <c r="AJ30" s="150"/>
      <c r="AK30" s="75">
        <f t="shared" si="9"/>
        <v>28</v>
      </c>
      <c r="AL30" s="54">
        <v>12</v>
      </c>
      <c r="AM30" s="55">
        <v>150</v>
      </c>
      <c r="AN30" s="150"/>
      <c r="AO30" s="75">
        <f t="shared" si="10"/>
        <v>28</v>
      </c>
      <c r="AP30" s="54">
        <v>30.56</v>
      </c>
      <c r="AQ30" s="55">
        <v>40</v>
      </c>
      <c r="AR30" s="150"/>
      <c r="AS30" s="75">
        <f t="shared" si="11"/>
        <v>28</v>
      </c>
      <c r="AT30" s="54">
        <v>10.23</v>
      </c>
      <c r="AU30" s="55">
        <v>320</v>
      </c>
      <c r="AV30" s="150"/>
      <c r="AW30" s="67"/>
    </row>
    <row r="31" spans="1:49" s="49" customFormat="1" ht="11.25" x14ac:dyDescent="0.2">
      <c r="A31" s="73">
        <f t="shared" si="0"/>
        <v>29</v>
      </c>
      <c r="B31" s="54"/>
      <c r="C31" s="55"/>
      <c r="D31" s="150"/>
      <c r="E31" s="75">
        <v>29</v>
      </c>
      <c r="F31" s="54">
        <v>24.66</v>
      </c>
      <c r="G31" s="55">
        <v>25</v>
      </c>
      <c r="H31" s="150"/>
      <c r="I31" s="75">
        <f t="shared" si="2"/>
        <v>29</v>
      </c>
      <c r="J31" s="54">
        <v>5</v>
      </c>
      <c r="K31" s="55">
        <v>3</v>
      </c>
      <c r="L31" s="150"/>
      <c r="M31" s="75">
        <f t="shared" si="3"/>
        <v>29</v>
      </c>
      <c r="N31" s="54">
        <v>14.8</v>
      </c>
      <c r="O31" s="55">
        <v>330</v>
      </c>
      <c r="P31" s="150"/>
      <c r="Q31" s="75">
        <f t="shared" si="4"/>
        <v>29</v>
      </c>
      <c r="R31" s="54">
        <v>29.36</v>
      </c>
      <c r="S31" s="55">
        <v>223</v>
      </c>
      <c r="T31" s="150"/>
      <c r="U31" s="75">
        <f t="shared" si="5"/>
        <v>29</v>
      </c>
      <c r="V31" s="54">
        <v>58.209999999999994</v>
      </c>
      <c r="W31" s="55">
        <v>200</v>
      </c>
      <c r="X31" s="150"/>
      <c r="Y31" s="75">
        <f t="shared" si="6"/>
        <v>29</v>
      </c>
      <c r="Z31" s="54">
        <v>19</v>
      </c>
      <c r="AA31" s="55">
        <v>387</v>
      </c>
      <c r="AB31" s="150"/>
      <c r="AC31" s="75">
        <f t="shared" si="7"/>
        <v>29</v>
      </c>
      <c r="AD31" s="54">
        <v>17.8</v>
      </c>
      <c r="AE31" s="55">
        <v>367</v>
      </c>
      <c r="AF31" s="150"/>
      <c r="AG31" s="75">
        <f t="shared" si="8"/>
        <v>29</v>
      </c>
      <c r="AH31" s="54">
        <v>21.31</v>
      </c>
      <c r="AI31" s="55">
        <v>195</v>
      </c>
      <c r="AJ31" s="150"/>
      <c r="AK31" s="75">
        <f t="shared" si="9"/>
        <v>29</v>
      </c>
      <c r="AL31" s="54">
        <v>12.94</v>
      </c>
      <c r="AM31" s="55">
        <v>88</v>
      </c>
      <c r="AN31" s="150">
        <v>1.0416666666666666E-2</v>
      </c>
      <c r="AO31" s="75">
        <f t="shared" si="10"/>
        <v>29</v>
      </c>
      <c r="AP31" s="54">
        <v>14.55</v>
      </c>
      <c r="AQ31" s="55">
        <v>65</v>
      </c>
      <c r="AR31" s="150"/>
      <c r="AS31" s="75">
        <f t="shared" si="11"/>
        <v>29</v>
      </c>
      <c r="AT31" s="54">
        <v>15.41</v>
      </c>
      <c r="AU31" s="55">
        <v>75</v>
      </c>
      <c r="AV31" s="150"/>
      <c r="AW31" s="67"/>
    </row>
    <row r="32" spans="1:49" s="49" customFormat="1" ht="11.25" x14ac:dyDescent="0.2">
      <c r="A32" s="73">
        <f t="shared" si="0"/>
        <v>30</v>
      </c>
      <c r="B32" s="54"/>
      <c r="C32" s="55"/>
      <c r="D32" s="150"/>
      <c r="E32" s="75"/>
      <c r="F32" s="54"/>
      <c r="G32" s="55"/>
      <c r="H32" s="150"/>
      <c r="I32" s="75">
        <f t="shared" si="2"/>
        <v>30</v>
      </c>
      <c r="J32" s="54">
        <v>12</v>
      </c>
      <c r="K32" s="55">
        <v>30</v>
      </c>
      <c r="L32" s="150"/>
      <c r="M32" s="75">
        <f t="shared" si="3"/>
        <v>30</v>
      </c>
      <c r="N32" s="54">
        <v>63.680000000000007</v>
      </c>
      <c r="O32" s="55">
        <v>547</v>
      </c>
      <c r="P32" s="150"/>
      <c r="Q32" s="75">
        <f t="shared" si="4"/>
        <v>30</v>
      </c>
      <c r="R32" s="54">
        <v>5</v>
      </c>
      <c r="S32" s="55">
        <v>3</v>
      </c>
      <c r="T32" s="150"/>
      <c r="U32" s="75">
        <f t="shared" si="5"/>
        <v>30</v>
      </c>
      <c r="V32" s="54">
        <v>10</v>
      </c>
      <c r="W32" s="55">
        <v>15</v>
      </c>
      <c r="X32" s="150"/>
      <c r="Y32" s="75">
        <f t="shared" si="6"/>
        <v>30</v>
      </c>
      <c r="Z32" s="54">
        <v>54.2</v>
      </c>
      <c r="AA32" s="55">
        <v>901</v>
      </c>
      <c r="AB32" s="150"/>
      <c r="AC32" s="75">
        <f t="shared" si="7"/>
        <v>30</v>
      </c>
      <c r="AD32" s="54">
        <v>9.33</v>
      </c>
      <c r="AE32" s="55">
        <v>80</v>
      </c>
      <c r="AF32" s="150"/>
      <c r="AG32" s="75">
        <f t="shared" si="8"/>
        <v>30</v>
      </c>
      <c r="AH32" s="54">
        <v>10</v>
      </c>
      <c r="AI32" s="55">
        <v>20</v>
      </c>
      <c r="AJ32" s="150"/>
      <c r="AK32" s="75">
        <f t="shared" si="9"/>
        <v>30</v>
      </c>
      <c r="AL32" s="54">
        <v>78.349999999999994</v>
      </c>
      <c r="AM32" s="55">
        <v>852</v>
      </c>
      <c r="AN32" s="150"/>
      <c r="AO32" s="75">
        <f t="shared" si="10"/>
        <v>30</v>
      </c>
      <c r="AP32" s="54">
        <v>17.68</v>
      </c>
      <c r="AQ32" s="55">
        <v>90</v>
      </c>
      <c r="AR32" s="150"/>
      <c r="AS32" s="75">
        <f t="shared" si="11"/>
        <v>30</v>
      </c>
      <c r="AT32" s="54">
        <v>19.829999999999998</v>
      </c>
      <c r="AU32" s="55">
        <v>100</v>
      </c>
      <c r="AV32" s="150"/>
      <c r="AW32" s="67"/>
    </row>
    <row r="33" spans="1:49" s="49" customFormat="1" ht="11.25" x14ac:dyDescent="0.2">
      <c r="A33" s="74">
        <f t="shared" si="0"/>
        <v>31</v>
      </c>
      <c r="B33" s="62">
        <v>50.32</v>
      </c>
      <c r="C33" s="63">
        <v>50</v>
      </c>
      <c r="D33" s="151"/>
      <c r="E33" s="76"/>
      <c r="F33" s="62"/>
      <c r="G33" s="63"/>
      <c r="H33" s="151"/>
      <c r="I33" s="76">
        <f t="shared" si="2"/>
        <v>31</v>
      </c>
      <c r="J33" s="62">
        <v>11.17</v>
      </c>
      <c r="K33" s="63">
        <v>77</v>
      </c>
      <c r="L33" s="151"/>
      <c r="M33" s="76"/>
      <c r="N33" s="62"/>
      <c r="O33" s="63"/>
      <c r="P33" s="151"/>
      <c r="Q33" s="76">
        <f t="shared" si="4"/>
        <v>31</v>
      </c>
      <c r="R33" s="62">
        <v>14.219999999999999</v>
      </c>
      <c r="S33" s="63">
        <v>90</v>
      </c>
      <c r="T33" s="151"/>
      <c r="U33" s="76"/>
      <c r="V33" s="62"/>
      <c r="W33" s="63"/>
      <c r="X33" s="151"/>
      <c r="Y33" s="76">
        <f t="shared" si="6"/>
        <v>31</v>
      </c>
      <c r="Z33" s="62">
        <v>30.945000000000004</v>
      </c>
      <c r="AA33" s="63">
        <v>173</v>
      </c>
      <c r="AB33" s="151"/>
      <c r="AC33" s="76">
        <f t="shared" si="7"/>
        <v>31</v>
      </c>
      <c r="AD33" s="62">
        <v>14.8</v>
      </c>
      <c r="AE33" s="63">
        <v>330</v>
      </c>
      <c r="AF33" s="151"/>
      <c r="AG33" s="76"/>
      <c r="AH33" s="62"/>
      <c r="AI33" s="63"/>
      <c r="AJ33" s="151"/>
      <c r="AK33" s="76">
        <f t="shared" si="9"/>
        <v>31</v>
      </c>
      <c r="AL33" s="62">
        <v>11.04</v>
      </c>
      <c r="AM33" s="63">
        <v>50</v>
      </c>
      <c r="AN33" s="151"/>
      <c r="AO33" s="76"/>
      <c r="AP33" s="62"/>
      <c r="AQ33" s="63"/>
      <c r="AR33" s="151"/>
      <c r="AS33" s="76">
        <f t="shared" si="11"/>
        <v>31</v>
      </c>
      <c r="AT33" s="62">
        <v>22.970000000000002</v>
      </c>
      <c r="AU33" s="63">
        <v>360</v>
      </c>
      <c r="AV33" s="151"/>
      <c r="AW33" s="67"/>
    </row>
    <row r="34" spans="1:49" s="49" customFormat="1" ht="11.25" x14ac:dyDescent="0.2">
      <c r="A34" s="45" t="s">
        <v>92</v>
      </c>
      <c r="B34" s="47">
        <f>SUM(B3:B33)</f>
        <v>370.08</v>
      </c>
      <c r="C34" s="48">
        <f>SUM(C3:C33)</f>
        <v>1161</v>
      </c>
      <c r="D34" s="79">
        <f>(SUM(D3:D33)/D39)*C39</f>
        <v>67.600000000000009</v>
      </c>
      <c r="E34" s="65"/>
      <c r="F34" s="47">
        <f>SUM(F3:F33)</f>
        <v>569.68000000000006</v>
      </c>
      <c r="G34" s="48">
        <f>SUM(G3:G33)</f>
        <v>3633</v>
      </c>
      <c r="H34" s="79">
        <f>(SUM(H3:H33)/D39)*C39</f>
        <v>18</v>
      </c>
      <c r="I34" s="65"/>
      <c r="J34" s="47">
        <f>SUM(J3:J33)</f>
        <v>569.41999999999985</v>
      </c>
      <c r="K34" s="48">
        <f>SUM(K3:K33)</f>
        <v>2573</v>
      </c>
      <c r="L34" s="79">
        <f>(SUM(L3:L33)/D39)*C39</f>
        <v>6</v>
      </c>
      <c r="M34" s="77"/>
      <c r="N34" s="47">
        <f>SUM(N3:N33)</f>
        <v>601.92999999999984</v>
      </c>
      <c r="O34" s="48">
        <f>SUM(O3:O33)</f>
        <v>4927</v>
      </c>
      <c r="P34" s="79">
        <f>(SUM(P3:P33)/D39)*C39</f>
        <v>46.800000000000004</v>
      </c>
      <c r="Q34" s="65"/>
      <c r="R34" s="47">
        <f>SUM(R3:R33)</f>
        <v>698.62</v>
      </c>
      <c r="S34" s="48">
        <f>SUM(S3:S33)</f>
        <v>7926</v>
      </c>
      <c r="T34" s="79">
        <f>(SUM(T3:T33)/D39)*C39</f>
        <v>38.799999999999997</v>
      </c>
      <c r="U34" s="65"/>
      <c r="V34" s="47">
        <f>SUM(V3:V33)</f>
        <v>691.04000000000008</v>
      </c>
      <c r="W34" s="48">
        <f>SUM(W3:W33)</f>
        <v>3267</v>
      </c>
      <c r="X34" s="79">
        <f>(SUM(X3:X33)/D39)*C39</f>
        <v>62.8</v>
      </c>
      <c r="Y34" s="65"/>
      <c r="Z34" s="47">
        <f>SUM(Z3:Z33)</f>
        <v>541.47499999999991</v>
      </c>
      <c r="AA34" s="48">
        <f>SUM(AA3:AA33)</f>
        <v>5683</v>
      </c>
      <c r="AB34" s="79">
        <f>(SUM(AB3:AB33)/D39)*C39</f>
        <v>32</v>
      </c>
      <c r="AC34" s="65"/>
      <c r="AD34" s="47">
        <f>SUM(AD3:AD33)</f>
        <v>913.65999999999974</v>
      </c>
      <c r="AE34" s="48">
        <f>SUM(AE3:AE33)</f>
        <v>11863</v>
      </c>
      <c r="AF34" s="79">
        <f>(SUM(AF3:AF33)/D39)*C39</f>
        <v>30</v>
      </c>
      <c r="AG34" s="65"/>
      <c r="AH34" s="54">
        <f>SUM(AH3:AH33)</f>
        <v>715.53000000000009</v>
      </c>
      <c r="AI34" s="48">
        <f>SUM(AI3:AI33)</f>
        <v>5961</v>
      </c>
      <c r="AJ34" s="79">
        <f>(SUM(AJ3:AJ33)/D39)*C39</f>
        <v>38.799999999999997</v>
      </c>
      <c r="AK34" s="65"/>
      <c r="AL34" s="47">
        <f>SUM(AL3:AL33)</f>
        <v>706.72</v>
      </c>
      <c r="AM34" s="48">
        <f>SUM(AM3:AM33)</f>
        <v>4631</v>
      </c>
      <c r="AN34" s="79">
        <f>(SUM(AN3:AN33)/D39)*C39</f>
        <v>32.4</v>
      </c>
      <c r="AO34" s="65"/>
      <c r="AP34" s="47">
        <f>SUM(AP3:AP33)</f>
        <v>662.5899999999998</v>
      </c>
      <c r="AQ34" s="48">
        <f>SUM(AQ3:AQ33)</f>
        <v>2702</v>
      </c>
      <c r="AR34" s="79">
        <f>(SUM(AR3:AR33)/D39)*C39</f>
        <v>26.000000000000004</v>
      </c>
      <c r="AS34" s="65"/>
      <c r="AT34" s="47">
        <f>SUM(AT3:AT33)</f>
        <v>554.59000000000015</v>
      </c>
      <c r="AU34" s="48">
        <f>SUM(AU3:AU33)</f>
        <v>4073</v>
      </c>
      <c r="AV34" s="79">
        <f>(SUM(AV3:AV33)/D39)*C39</f>
        <v>53.6</v>
      </c>
      <c r="AW34" s="67"/>
    </row>
    <row r="35" spans="1:49" s="52" customFormat="1" ht="11.25" x14ac:dyDescent="0.2">
      <c r="A35" s="46" t="s">
        <v>93</v>
      </c>
      <c r="B35" s="50">
        <f>B34</f>
        <v>370.08</v>
      </c>
      <c r="C35" s="51">
        <f>C34</f>
        <v>1161</v>
      </c>
      <c r="D35" s="80">
        <f>D34</f>
        <v>67.600000000000009</v>
      </c>
      <c r="E35" s="66"/>
      <c r="F35" s="50">
        <f>F34+B35</f>
        <v>939.76</v>
      </c>
      <c r="G35" s="51">
        <f>G34+C35</f>
        <v>4794</v>
      </c>
      <c r="H35" s="80">
        <f>H34+D35</f>
        <v>85.600000000000009</v>
      </c>
      <c r="I35" s="66"/>
      <c r="J35" s="50">
        <f>J34+F35</f>
        <v>1509.1799999999998</v>
      </c>
      <c r="K35" s="51">
        <f>K34+G35</f>
        <v>7367</v>
      </c>
      <c r="L35" s="80">
        <f>L34+H35</f>
        <v>91.600000000000009</v>
      </c>
      <c r="M35" s="66"/>
      <c r="N35" s="50">
        <f>N34+J35</f>
        <v>2111.1099999999997</v>
      </c>
      <c r="O35" s="51">
        <f>O34+K35</f>
        <v>12294</v>
      </c>
      <c r="P35" s="80">
        <f>P34+L35</f>
        <v>138.4</v>
      </c>
      <c r="Q35" s="66"/>
      <c r="R35" s="50">
        <f>R34+N35</f>
        <v>2809.7299999999996</v>
      </c>
      <c r="S35" s="51">
        <f>S34+O35</f>
        <v>20220</v>
      </c>
      <c r="T35" s="80">
        <f>T34+P35</f>
        <v>177.2</v>
      </c>
      <c r="U35" s="66"/>
      <c r="V35" s="50">
        <f>V34+R35</f>
        <v>3500.7699999999995</v>
      </c>
      <c r="W35" s="51">
        <f>W34+S35</f>
        <v>23487</v>
      </c>
      <c r="X35" s="80">
        <f>X34+T35</f>
        <v>240</v>
      </c>
      <c r="Y35" s="66"/>
      <c r="Z35" s="50">
        <f>Z34+V35</f>
        <v>4042.2449999999994</v>
      </c>
      <c r="AA35" s="51">
        <f>AA34+W35</f>
        <v>29170</v>
      </c>
      <c r="AB35" s="80">
        <f>AB34+X35</f>
        <v>272</v>
      </c>
      <c r="AC35" s="66"/>
      <c r="AD35" s="50">
        <f>AD34+Z35</f>
        <v>4955.9049999999988</v>
      </c>
      <c r="AE35" s="51">
        <f>AE34+AA35</f>
        <v>41033</v>
      </c>
      <c r="AF35" s="80">
        <f>AF34+AB35</f>
        <v>302</v>
      </c>
      <c r="AG35" s="66"/>
      <c r="AH35" s="86">
        <f>AH34+AD35</f>
        <v>5671.4349999999986</v>
      </c>
      <c r="AI35" s="51">
        <f>AI34+AE35</f>
        <v>46994</v>
      </c>
      <c r="AJ35" s="80">
        <f>AJ34+AF35</f>
        <v>340.8</v>
      </c>
      <c r="AK35" s="66"/>
      <c r="AL35" s="50">
        <f>AL34+AH35</f>
        <v>6378.1549999999988</v>
      </c>
      <c r="AM35" s="51">
        <f>AM34+AI35</f>
        <v>51625</v>
      </c>
      <c r="AN35" s="80">
        <f>AN34+AJ35</f>
        <v>373.2</v>
      </c>
      <c r="AO35" s="66"/>
      <c r="AP35" s="50">
        <f>AP34+AL35</f>
        <v>7040.744999999999</v>
      </c>
      <c r="AQ35" s="51">
        <f>AQ34+AM35</f>
        <v>54327</v>
      </c>
      <c r="AR35" s="80">
        <f>AR34+AN35</f>
        <v>399.2</v>
      </c>
      <c r="AS35" s="66"/>
      <c r="AT35" s="50">
        <f>AT34+AP35</f>
        <v>7595.3349999999991</v>
      </c>
      <c r="AU35" s="51">
        <f>AU34+AQ35</f>
        <v>58400</v>
      </c>
      <c r="AV35" s="80">
        <f>AV34+AR35</f>
        <v>452.8</v>
      </c>
      <c r="AW35" s="92"/>
    </row>
    <row r="36" spans="1:49" s="49" customFormat="1" ht="11.25" x14ac:dyDescent="0.2">
      <c r="A36" s="49" t="s">
        <v>149</v>
      </c>
      <c r="B36" s="47">
        <f>MAX(B3:B33)</f>
        <v>50.32</v>
      </c>
      <c r="C36" s="55">
        <f>MAX(C3:C33)</f>
        <v>355</v>
      </c>
      <c r="D36" s="152">
        <f>MAX(D3:D33)</f>
        <v>4.1666666666666664E-2</v>
      </c>
      <c r="E36" s="67"/>
      <c r="F36" s="47">
        <f>MAX(F3:F33)</f>
        <v>91.8</v>
      </c>
      <c r="G36" s="55">
        <f>MAX(G3:G33)</f>
        <v>794</v>
      </c>
      <c r="H36" s="152">
        <f>MAX(H3:H33)</f>
        <v>1.7361111111111112E-2</v>
      </c>
      <c r="I36" s="67"/>
      <c r="J36" s="47">
        <f>MAX(J3:J33)</f>
        <v>101.2</v>
      </c>
      <c r="K36" s="55">
        <f>MAX(K3:K33)</f>
        <v>710</v>
      </c>
      <c r="L36" s="152">
        <f>MAX(L3:L33)</f>
        <v>1.0416666666666666E-2</v>
      </c>
      <c r="M36" s="67"/>
      <c r="N36" s="47">
        <f>MAX(N3:N33)</f>
        <v>64.42</v>
      </c>
      <c r="O36" s="55">
        <f>MAX(O3:O33)</f>
        <v>903</v>
      </c>
      <c r="P36" s="152">
        <f>MAX(P3:P33)</f>
        <v>4.1666666666666664E-2</v>
      </c>
      <c r="Q36" s="67"/>
      <c r="R36" s="47">
        <f>MAX(R3:R33)</f>
        <v>91.59</v>
      </c>
      <c r="S36" s="55">
        <f>MAX(S3:S33)</f>
        <v>2025</v>
      </c>
      <c r="T36" s="152">
        <f>MAX(T3:T33)</f>
        <v>3.2638888888888891E-2</v>
      </c>
      <c r="U36" s="67"/>
      <c r="V36" s="47">
        <f>MAX(V3:V33)</f>
        <v>75.95</v>
      </c>
      <c r="W36" s="55">
        <f>MAX(W3:W33)</f>
        <v>773</v>
      </c>
      <c r="X36" s="152">
        <f>MAX(X3:X33)</f>
        <v>2.2222222222222223E-2</v>
      </c>
      <c r="Y36" s="67"/>
      <c r="Z36" s="47">
        <f>MAX(Z3:Z33)</f>
        <v>141.72</v>
      </c>
      <c r="AA36" s="55">
        <f>MAX(AA3:AA33)</f>
        <v>1479</v>
      </c>
      <c r="AB36" s="152">
        <f>MAX(AB3:AB33)</f>
        <v>3.4722222222222224E-2</v>
      </c>
      <c r="AC36" s="67"/>
      <c r="AD36" s="47">
        <f>MAX(AD3:AD33)</f>
        <v>111.31</v>
      </c>
      <c r="AE36" s="55">
        <f>MAX(AE3:AE33)</f>
        <v>1460</v>
      </c>
      <c r="AF36" s="152">
        <f>MAX(AF3:AF33)</f>
        <v>1.0416666666666666E-2</v>
      </c>
      <c r="AG36" s="67"/>
      <c r="AH36" s="47">
        <f>MAX(AH3:AH33)</f>
        <v>64.08</v>
      </c>
      <c r="AI36" s="55">
        <f>MAX(AI3:AI33)</f>
        <v>920</v>
      </c>
      <c r="AJ36" s="152">
        <f>MAX(AJ3:AJ33)</f>
        <v>4.6527777777777779E-2</v>
      </c>
      <c r="AK36" s="67"/>
      <c r="AL36" s="47">
        <f>MAX(AL3:AL33)</f>
        <v>78.349999999999994</v>
      </c>
      <c r="AM36" s="55">
        <f>MAX(AM3:AM33)</f>
        <v>852</v>
      </c>
      <c r="AN36" s="152">
        <f>MAX(AN3:AN33)</f>
        <v>3.5416666666666666E-2</v>
      </c>
      <c r="AO36" s="67"/>
      <c r="AP36" s="47">
        <f>MAX(AP3:AP33)</f>
        <v>107</v>
      </c>
      <c r="AQ36" s="55">
        <f>MAX(AQ3:AQ33)</f>
        <v>410</v>
      </c>
      <c r="AR36" s="152">
        <f>MAX(AR3:AR33)</f>
        <v>2.4305555555555556E-2</v>
      </c>
      <c r="AS36" s="67"/>
      <c r="AT36" s="47">
        <f>MAX(AT3:AT33)</f>
        <v>42.480000000000004</v>
      </c>
      <c r="AU36" s="55">
        <f>MAX(AU3:AU33)</f>
        <v>912</v>
      </c>
      <c r="AV36" s="152">
        <f>MAX(AV3:AV33)</f>
        <v>2.0833333333333332E-2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17.622857142857143</v>
      </c>
      <c r="C37" s="55">
        <f>IFERROR(AVERAGE(C3:C33),0)</f>
        <v>55.285714285714285</v>
      </c>
      <c r="D37" s="152">
        <f>IFERROR(AVERAGE(D3:D33),0)</f>
        <v>2.9340277777777778E-2</v>
      </c>
      <c r="E37" s="67"/>
      <c r="F37" s="54">
        <f>IFERROR(AVERAGE(F3:F33),0)</f>
        <v>21.910769230769233</v>
      </c>
      <c r="G37" s="55">
        <f>IFERROR(AVERAGE(G3:G33),0)</f>
        <v>139.73076923076923</v>
      </c>
      <c r="H37" s="152">
        <f>IFERROR(AVERAGE(H3:H33),0)</f>
        <v>1.5625E-2</v>
      </c>
      <c r="I37" s="67"/>
      <c r="J37" s="54">
        <f>IFERROR(AVERAGE(J3:J33),0)</f>
        <v>22.776799999999994</v>
      </c>
      <c r="K37" s="55">
        <f>IFERROR(AVERAGE(K3:K33),0)</f>
        <v>102.92</v>
      </c>
      <c r="L37" s="152">
        <f>IFERROR(AVERAGE(L3:L33),0)</f>
        <v>1.0416666666666666E-2</v>
      </c>
      <c r="M37" s="67"/>
      <c r="N37" s="54">
        <f>IFERROR(AVERAGE(N3:N33),0)</f>
        <v>22.293703703703699</v>
      </c>
      <c r="O37" s="55">
        <f>IFERROR(AVERAGE(O3:O33),0)</f>
        <v>182.4814814814815</v>
      </c>
      <c r="P37" s="152">
        <f>IFERROR(AVERAGE(P3:P33),0)</f>
        <v>2.0312500000000001E-2</v>
      </c>
      <c r="Q37" s="67"/>
      <c r="R37" s="54">
        <f>IFERROR(AVERAGE(R3:R33),0)</f>
        <v>24.950714285714287</v>
      </c>
      <c r="S37" s="55">
        <f>IFERROR(AVERAGE(S3:S33),0)</f>
        <v>283.07142857142856</v>
      </c>
      <c r="T37" s="152">
        <f>IFERROR(AVERAGE(T3:T33),0)</f>
        <v>1.6840277777777777E-2</v>
      </c>
      <c r="U37" s="67"/>
      <c r="V37" s="54">
        <f>IFERROR(AVERAGE(V3:V33),0)</f>
        <v>23.828965517241382</v>
      </c>
      <c r="W37" s="55">
        <f>IFERROR(AVERAGE(W3:W33),0)</f>
        <v>112.65517241379311</v>
      </c>
      <c r="X37" s="152">
        <f>IFERROR(AVERAGE(X3:X33),0)</f>
        <v>1.3628472222222222E-2</v>
      </c>
      <c r="Y37" s="67"/>
      <c r="Z37" s="54">
        <f>IFERROR(AVERAGE(Z3:Z33),0)</f>
        <v>23.542391304347824</v>
      </c>
      <c r="AA37" s="55">
        <f>IFERROR(AVERAGE(AA3:AA33),0)</f>
        <v>247.08695652173913</v>
      </c>
      <c r="AB37" s="152">
        <f>IFERROR(AVERAGE(AB3:AB33),0)</f>
        <v>2.7777777777777776E-2</v>
      </c>
      <c r="AC37" s="67"/>
      <c r="AD37" s="54">
        <f>IFERROR(AVERAGE(AD3:AD33),0)</f>
        <v>29.472903225806444</v>
      </c>
      <c r="AE37" s="55">
        <f>IFERROR(AVERAGE(AE3:AE33),0)</f>
        <v>382.67741935483872</v>
      </c>
      <c r="AF37" s="152">
        <f>IFERROR(AVERAGE(AF3:AF33),0)</f>
        <v>1.0416666666666666E-2</v>
      </c>
      <c r="AG37" s="67"/>
      <c r="AH37" s="54">
        <f>IFERROR(AVERAGE(AH3:AH33),0)</f>
        <v>25.554642857142859</v>
      </c>
      <c r="AI37" s="55">
        <f>IFERROR(AVERAGE(AI3:AI33),0)</f>
        <v>212.89285714285714</v>
      </c>
      <c r="AJ37" s="152">
        <f>IFERROR(AVERAGE(AJ3:AJ33),0)</f>
        <v>2.2453703703703701E-2</v>
      </c>
      <c r="AK37" s="67"/>
      <c r="AL37" s="54">
        <f>IFERROR(AVERAGE(AL3:AL33),0)</f>
        <v>23.557333333333336</v>
      </c>
      <c r="AM37" s="55">
        <f>IFERROR(AVERAGE(AM3:AM33),0)</f>
        <v>154.36666666666667</v>
      </c>
      <c r="AN37" s="152">
        <f>IFERROR(AVERAGE(AN3:AN33),0)</f>
        <v>1.8749999999999999E-2</v>
      </c>
      <c r="AO37" s="67"/>
      <c r="AP37" s="54">
        <f>IFERROR(AVERAGE(AP3:AP33),0)</f>
        <v>22.847931034482752</v>
      </c>
      <c r="AQ37" s="55">
        <f>IFERROR(AVERAGE(AQ3:AQ33),0)</f>
        <v>93.172413793103445</v>
      </c>
      <c r="AR37" s="152">
        <f>IFERROR(AVERAGE(AR3:AR33),0)</f>
        <v>1.5046296296296295E-2</v>
      </c>
      <c r="AS37" s="67"/>
      <c r="AT37" s="54">
        <f>IFERROR(AVERAGE(AT3:AT33),0)</f>
        <v>18.486333333333338</v>
      </c>
      <c r="AU37" s="55">
        <f>IFERROR(AVERAGE(AU3:AU33),0)</f>
        <v>135.76666666666668</v>
      </c>
      <c r="AV37" s="152">
        <f>IFERROR(AVERAGE(AV3:AV33),0)</f>
        <v>1.3293650793650793E-2</v>
      </c>
      <c r="AW37" s="67"/>
    </row>
    <row r="38" spans="1:49" s="49" customFormat="1" ht="11.25" x14ac:dyDescent="0.2">
      <c r="A38" s="49" t="s">
        <v>236</v>
      </c>
      <c r="B38" s="54">
        <f>B34-'15'!B34</f>
        <v>-12.210000000000036</v>
      </c>
      <c r="C38" s="78">
        <f>C34-'15'!C34</f>
        <v>-3462</v>
      </c>
      <c r="D38" s="105">
        <f>IF(B34+D34=0,0,D34/(B34+D34))</f>
        <v>0.15445074026686165</v>
      </c>
      <c r="E38" s="67"/>
      <c r="F38" s="54">
        <f>F34-'15'!F34</f>
        <v>208.71000000000004</v>
      </c>
      <c r="G38" s="78">
        <f>G34-'15'!G34</f>
        <v>856</v>
      </c>
      <c r="H38" s="105">
        <f>IF(F34+H34=0,0,H34/(F34+H34))</f>
        <v>3.0628913694527631E-2</v>
      </c>
      <c r="I38" s="67"/>
      <c r="J38" s="54">
        <f>J34-'15'!J34</f>
        <v>60.309999999999945</v>
      </c>
      <c r="K38" s="78">
        <f>K34-'15'!K34</f>
        <v>-1758</v>
      </c>
      <c r="L38" s="105">
        <f>IF(J34+L34=0,0,L34/(J34+L34))</f>
        <v>1.042716624378715E-2</v>
      </c>
      <c r="M38" s="67"/>
      <c r="N38" s="54">
        <f>N34-'15'!N34</f>
        <v>-109.58000000000015</v>
      </c>
      <c r="O38" s="78">
        <f>O34-'15'!O34</f>
        <v>-1559</v>
      </c>
      <c r="P38" s="105">
        <f>IF(N34+P34=0,0,P34/(N34+P34))</f>
        <v>7.2140952322229612E-2</v>
      </c>
      <c r="Q38" s="67"/>
      <c r="R38" s="54">
        <f>R34-'15'!R34</f>
        <v>-343.49000000000012</v>
      </c>
      <c r="S38" s="78">
        <f>S34-'15'!S34</f>
        <v>-732</v>
      </c>
      <c r="T38" s="105">
        <f>IF(R34+T34=0,0,T34/(R34+T34))</f>
        <v>5.2615876976485586E-2</v>
      </c>
      <c r="U38" s="67"/>
      <c r="V38" s="54">
        <f>V34-'15'!V34</f>
        <v>-283.83999999999969</v>
      </c>
      <c r="W38" s="78">
        <f>W34-'15'!W34</f>
        <v>-5701</v>
      </c>
      <c r="X38" s="105">
        <f>IF(V34+X34=0,0,X34/(V34+X34))</f>
        <v>8.3306802504510238E-2</v>
      </c>
      <c r="Y38" s="67"/>
      <c r="Z38" s="54">
        <f>Z34-'15'!Z34</f>
        <v>-158.63499999999999</v>
      </c>
      <c r="AA38" s="78">
        <f>AA34-'15'!AA34</f>
        <v>766</v>
      </c>
      <c r="AB38" s="105">
        <f>IF(Z34+AB34=0,0,AB34/(Z34+AB34))</f>
        <v>5.5800165656741806E-2</v>
      </c>
      <c r="AC38" s="67"/>
      <c r="AD38" s="54">
        <f>AD34-'15'!AD34</f>
        <v>174.66999999999962</v>
      </c>
      <c r="AE38" s="78">
        <f>AE34-'15'!AE34</f>
        <v>6016</v>
      </c>
      <c r="AF38" s="105">
        <f>IF(AD34+AF34=0,0,AF34/(AD34+AF34))</f>
        <v>3.1791111205307004E-2</v>
      </c>
      <c r="AG38" s="67"/>
      <c r="AH38" s="54">
        <f>AH34-'15'!AH34</f>
        <v>163.50000000000011</v>
      </c>
      <c r="AI38" s="78">
        <f>AI34-'15'!AI34</f>
        <v>1676</v>
      </c>
      <c r="AJ38" s="105">
        <f>IF(AH34+AJ34=0,0,AJ34/(AH34+AJ34))</f>
        <v>5.1436374000768885E-2</v>
      </c>
      <c r="AK38" s="67"/>
      <c r="AL38" s="54">
        <f>AL34-'15'!AL34</f>
        <v>52.189999999999941</v>
      </c>
      <c r="AM38" s="78">
        <f>AM34-'15'!AM34</f>
        <v>639</v>
      </c>
      <c r="AN38" s="105">
        <f>IF(AL34+AN34=0,0,AN34/(AL34+AN34))</f>
        <v>4.3835912977594975E-2</v>
      </c>
      <c r="AO38" s="67"/>
      <c r="AP38" s="54">
        <f>AP34-'15'!AP34</f>
        <v>69.169999999999732</v>
      </c>
      <c r="AQ38" s="78">
        <f>AQ34-'15'!AQ34</f>
        <v>-2502</v>
      </c>
      <c r="AR38" s="105">
        <f>IF(AP34+AR34=0,0,AR34/(AP34+AR34))</f>
        <v>3.7758317721721217E-2</v>
      </c>
      <c r="AS38" s="67"/>
      <c r="AT38" s="54">
        <f>AT34-'15'!AT34</f>
        <v>-28.449999999999818</v>
      </c>
      <c r="AU38" s="78">
        <f>AU34-'15'!AU34</f>
        <v>1411</v>
      </c>
      <c r="AV38" s="105">
        <f>IF(AT34+AV34=0,0,AV34/(AT34+AV34))</f>
        <v>8.8130354001216701E-2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G39" s="217"/>
      <c r="H39" s="169"/>
      <c r="I39" s="168"/>
      <c r="J39" s="50">
        <f>SUM(B34,F34,J34)</f>
        <v>1509.1799999999998</v>
      </c>
      <c r="K39" s="51">
        <f t="shared" ref="K39:L39" si="12">SUM(C34,G34,K34)</f>
        <v>7367</v>
      </c>
      <c r="L39" s="170">
        <f t="shared" si="12"/>
        <v>91.600000000000009</v>
      </c>
      <c r="M39" s="168"/>
      <c r="P39" s="169"/>
      <c r="Q39" s="168"/>
      <c r="T39" s="169"/>
      <c r="U39" s="168"/>
      <c r="V39" s="50">
        <f>SUM(N34,R34,V34)</f>
        <v>1991.5899999999997</v>
      </c>
      <c r="W39" s="51">
        <f>SUM(O34,S34,W34)</f>
        <v>16120</v>
      </c>
      <c r="X39" s="170">
        <f>SUM(P34,T34,X34)</f>
        <v>148.39999999999998</v>
      </c>
      <c r="Y39" s="168"/>
      <c r="AB39" s="169"/>
      <c r="AC39" s="168"/>
      <c r="AF39" s="169"/>
      <c r="AG39" s="168"/>
      <c r="AH39" s="86">
        <f>SUM(Z34,AD34,AH34)</f>
        <v>2170.665</v>
      </c>
      <c r="AI39" s="51">
        <f>SUM(AA34,AE34,AI34)</f>
        <v>23507</v>
      </c>
      <c r="AJ39" s="170">
        <f>SUM(AB34,AF34,AJ34)</f>
        <v>100.8</v>
      </c>
      <c r="AK39" s="168"/>
      <c r="AN39" s="169"/>
      <c r="AO39" s="168"/>
      <c r="AR39" s="169"/>
      <c r="AS39" s="168"/>
      <c r="AT39" s="50">
        <f>SUM(AL34,AP34,AT34)</f>
        <v>1923.9</v>
      </c>
      <c r="AU39" s="51">
        <f>SUM(AM34,AQ34,AU34)</f>
        <v>11406</v>
      </c>
      <c r="AV39" s="170">
        <f>SUM(AN34,AR34,AV34)</f>
        <v>112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20.770142124542122</v>
      </c>
      <c r="K40" s="55">
        <f>IFERROR(AVERAGE(C37,G37,K37),0)</f>
        <v>99.312161172161169</v>
      </c>
      <c r="L40" s="152">
        <f>IFERROR(AVERAGE(D37,H37,L37),0)</f>
        <v>1.8460648148148146E-2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23.691127835553122</v>
      </c>
      <c r="W40" s="55">
        <f>IFERROR(AVERAGE(O37,S37,W37),0)</f>
        <v>192.73602748890107</v>
      </c>
      <c r="X40" s="152">
        <f>IFERROR(AVERAGE(P37,T37,X37),0)</f>
        <v>1.6927083333333332E-2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26.189979129099044</v>
      </c>
      <c r="AI40" s="55">
        <f>IFERROR(AVERAGE(AA37,AE37,AI37),0)</f>
        <v>280.88574433981165</v>
      </c>
      <c r="AJ40" s="152">
        <f>IFERROR(AVERAGE(AB37,AF37,AJ37),0)</f>
        <v>2.021604938271605E-2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21.630532567049809</v>
      </c>
      <c r="AU40" s="55">
        <f>IFERROR(AVERAGE(AM37,AQ37,AU37),0)</f>
        <v>127.76858237547894</v>
      </c>
      <c r="AV40" s="152">
        <f>IFERROR(AVERAGE(AN37,AR37,AV37),0)</f>
        <v>1.5696649029982364E-2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8</v>
      </c>
      <c r="H41" s="102">
        <f>RANK(H34,(D34,H34,L34,P34,T34,X34,AB34,AF34,AJ34,AN34,AR34,AV34))</f>
        <v>11</v>
      </c>
      <c r="I41" s="103"/>
      <c r="J41" s="95">
        <f>RANK(J34,(B34,F34,J34,N34,R34,V34,Z34,AD34,AH34,AL34,AP34,AT34))</f>
        <v>9</v>
      </c>
      <c r="K41" s="96">
        <f>RANK(K34,(C34,G34,K34,O34,S34,W34,AA34,AE34,AI34,AM34,AQ34,AU34))</f>
        <v>11</v>
      </c>
      <c r="L41" s="102">
        <f>RANK(L34,(D34,H34,L34,P34,T34,X34,AB34,AF34,AJ34,AN34,AR34,AV34))</f>
        <v>12</v>
      </c>
      <c r="M41" s="103"/>
      <c r="N41" s="95">
        <f>RANK(N34,(B34,F34,J34,N34,R34,V34,Z34,AD34,AH34,AL34,AP34,AT34))</f>
        <v>7</v>
      </c>
      <c r="O41" s="96">
        <f>RANK(O34,(C34,G34,K34,O34,S34,W34,AA34,AE34,AI34,AM34,AQ34,AU34))</f>
        <v>5</v>
      </c>
      <c r="P41" s="102">
        <f>RANK(P34,(D34,H34,L34,P34,T34,X34,AB34,AF34,AJ34,AN34,AR34,AV34))</f>
        <v>4</v>
      </c>
      <c r="Q41" s="103"/>
      <c r="R41" s="95">
        <f>RANK(R34,(B34,F34,J34,N34,R34,V34,Z34,AD34,AH34,AL34,AP34,AT34))</f>
        <v>4</v>
      </c>
      <c r="S41" s="96">
        <f>RANK(S34,(C34,G34,K34,O34,S34,W34,AA34,AE34,AI34,AM34,AQ34,AU34))</f>
        <v>2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9</v>
      </c>
      <c r="X41" s="102">
        <f>RANK(X34,(D34,H34,L34,P34,T34,X34,AB34,AF34,AJ34,AN34,AR34,AV34))</f>
        <v>2</v>
      </c>
      <c r="Y41" s="103"/>
      <c r="Z41" s="95">
        <f>RANK(Z34,(B34,F34,J34,N34,R34,V34,Z34,AD34,AH34,AL34,AP34,AT34))</f>
        <v>11</v>
      </c>
      <c r="AA41" s="96">
        <f>RANK(AA34,(C34,G34,K34,O34,S34,W34,AA34,AE34,AI34,AM34,AQ34,AU34))</f>
        <v>4</v>
      </c>
      <c r="AB41" s="102">
        <f>RANK(AB34,(D34,H34,L34,P34,T34,X34,AB34,AF34,AJ34,AN34,AR34,AV34))</f>
        <v>8</v>
      </c>
      <c r="AC41" s="103"/>
      <c r="AD41" s="95">
        <f>RANK(AD34,(B34,F34,J34,N34,R34,V34,Z34,AD34,AH34,AL34,AP34,AT34))</f>
        <v>1</v>
      </c>
      <c r="AE41" s="96">
        <f>RANK(AE34,(C34,G34,K34,O34,S34,W34,AA34,AE34,AI34,AM34,AQ34,AU34))</f>
        <v>1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2</v>
      </c>
      <c r="AI41" s="96">
        <f>RANK(AI34,(C34,G34,K34,O34,S34,W34,AA34,AE34,AI34,AM34,AQ34,AU34))</f>
        <v>3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3</v>
      </c>
      <c r="AM41" s="96">
        <f>RANK(AM34,(C34,G34,K34,O34,S34,W34,AA34,AE34,AI34,AM34,AQ34,AU34))</f>
        <v>6</v>
      </c>
      <c r="AN41" s="102">
        <f>RANK(AN34,(D34,H34,L34,P34,T34,X34,AB34,AF34,AJ34,AN34,AR34,AV34))</f>
        <v>7</v>
      </c>
      <c r="AO41" s="103"/>
      <c r="AP41" s="95">
        <f>RANK(AP34,(B34,F34,J34,N34,R34,V34,Z34,AD34,AH34,AL34,AP34,AT34))</f>
        <v>6</v>
      </c>
      <c r="AQ41" s="96">
        <f>RANK(AQ34,(C34,G34,K34,O34,S34,W34,AA34,AE34,AI34,AM34,AQ34,AU34))</f>
        <v>10</v>
      </c>
      <c r="AR41" s="102">
        <f>RANK(AR34,(D34,H34,L34,P34,T34,X34,AB34,AF34,AJ34,AN34,AR34,AV34))</f>
        <v>10</v>
      </c>
      <c r="AS41" s="103"/>
      <c r="AT41" s="95">
        <f>RANK(AT34,(B34,F34,J34,N34,R34,V34,Z34,AD34,AH34,AL34,AP34,AT34))</f>
        <v>10</v>
      </c>
      <c r="AU41" s="96">
        <f>RANK(AU34,(C34,G34,K34,O34,S34,W34,AA34,AE34,AI34,AM34,AQ34,AU34))</f>
        <v>7</v>
      </c>
      <c r="AV41" s="102">
        <f>RANK(AV34,(D34,H34,L34,P34,T34,X34,AB34,AF34,AJ34,AN34,AR34,AV34))</f>
        <v>3</v>
      </c>
      <c r="AW41" s="107"/>
    </row>
    <row r="42" spans="1:49" s="49" customFormat="1" ht="11.25" x14ac:dyDescent="0.2">
      <c r="A42" s="52" t="s">
        <v>214</v>
      </c>
      <c r="B42" s="86">
        <f>T1</f>
        <v>23.070445414061023</v>
      </c>
      <c r="C42" s="87">
        <f>AB1</f>
        <v>175.17562884408821</v>
      </c>
      <c r="D42" s="88"/>
      <c r="E42" s="176" t="s">
        <v>399</v>
      </c>
      <c r="F42" s="177">
        <f>SUM(J23:J33,N3:N33,R3:R33,V3:V33,Z3:Z33,AD3:AD33,AH3:AH23)</f>
        <v>4153.8250000000007</v>
      </c>
      <c r="G42" s="178">
        <f>SUM(K23:K33,O3:O32,S3:S33,W3:W32,AA3:AA33,AE3:AE33,AI3:AI23)</f>
        <v>38776</v>
      </c>
      <c r="H42" s="179"/>
      <c r="I42" s="179"/>
      <c r="J42" s="180">
        <f>IFERROR(F42/(F42+F43),0)</f>
        <v>0.5468916117590602</v>
      </c>
      <c r="K42" s="180">
        <f>IFERROR(G42/(G42+G43),0)</f>
        <v>0.66397260273972603</v>
      </c>
      <c r="L42" s="179"/>
      <c r="M42" s="259" t="s">
        <v>600</v>
      </c>
      <c r="N42" s="257">
        <v>46</v>
      </c>
      <c r="Y42" s="144"/>
      <c r="AK42" s="211" t="s">
        <v>478</v>
      </c>
      <c r="AL42" s="47">
        <f>MAX(B34,F34,J34,N34,R34,V34,Z34,AD34,AH34,AL34,AP34,AT34)</f>
        <v>913.65999999999974</v>
      </c>
      <c r="AM42" s="212">
        <f>MAX(C34,G34,K34,O34,S34,W34,AA34,AE34,AI34,AM34,AQ34,AU34)</f>
        <v>11863</v>
      </c>
      <c r="AN42" s="49" t="s">
        <v>346</v>
      </c>
      <c r="AO42" s="210" t="s">
        <v>344</v>
      </c>
      <c r="AP42" s="54">
        <f>R1-'15'!R1</f>
        <v>9.1099999999999568</v>
      </c>
      <c r="AQ42" s="78">
        <f>AF1-'15'!AF1</f>
        <v>-1501</v>
      </c>
      <c r="AR42" s="49" t="s">
        <v>345</v>
      </c>
      <c r="AS42" s="209" t="s">
        <v>344</v>
      </c>
      <c r="AT42" s="54">
        <f>I1-'15'!I1</f>
        <v>11.719999999999999</v>
      </c>
      <c r="AU42" s="78">
        <f>AN1-'15'!AN1</f>
        <v>490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20.809136986301368</v>
      </c>
      <c r="C43" s="87">
        <f>AU1/365</f>
        <v>160</v>
      </c>
      <c r="D43" s="88"/>
      <c r="E43" s="172" t="s">
        <v>400</v>
      </c>
      <c r="F43" s="173">
        <f>E1-F42</f>
        <v>3441.5099999999984</v>
      </c>
      <c r="G43" s="174">
        <f>AU1-G42</f>
        <v>19624</v>
      </c>
      <c r="H43" s="175"/>
      <c r="I43" s="175"/>
      <c r="J43" s="181">
        <f>IFERROR(F43/(F42+F43),0)</f>
        <v>0.45310838824093985</v>
      </c>
      <c r="K43" s="181">
        <f>IFERROR(G43/(G42+G43),0)</f>
        <v>0.33602739726027397</v>
      </c>
      <c r="L43" s="175"/>
      <c r="M43" s="65" t="s">
        <v>601</v>
      </c>
      <c r="N43" s="258">
        <v>8</v>
      </c>
      <c r="Y43" s="67"/>
      <c r="AK43" s="213" t="s">
        <v>481</v>
      </c>
      <c r="AL43" s="188">
        <f>IF($B$1&lt;&gt;0,$AV$35/$B1,0)</f>
        <v>5.6261481697312488E-2</v>
      </c>
      <c r="AO43" s="209" t="s">
        <v>344</v>
      </c>
      <c r="AP43" s="54">
        <f>AV35-'15'!AV35</f>
        <v>372</v>
      </c>
      <c r="AQ43" s="188">
        <f>AL43-'15'!AL43</f>
        <v>4.6012603936743016E-2</v>
      </c>
      <c r="AR43" s="49" t="s">
        <v>204</v>
      </c>
      <c r="AS43" s="209" t="s">
        <v>344</v>
      </c>
      <c r="AT43" s="54">
        <f>B1-'15'!B1</f>
        <v>164.34500000000025</v>
      </c>
      <c r="AU43" s="78">
        <f>AU1-'15'!AU1</f>
        <v>-4350</v>
      </c>
      <c r="AV43" s="49" t="s">
        <v>347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304" priority="89" operator="equal">
      <formula>$R$1</formula>
    </cfRule>
    <cfRule type="cellIs" dxfId="303" priority="90" operator="equal">
      <formula>$M$1</formula>
    </cfRule>
  </conditionalFormatting>
  <conditionalFormatting sqref="C34 G34 K34 O34 S34 W34 AA34 AE34 AI34 AM34 AQ34 AU34">
    <cfRule type="cellIs" dxfId="302" priority="88" operator="equal">
      <formula>$AF$1</formula>
    </cfRule>
    <cfRule type="cellIs" dxfId="301" priority="91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300" priority="85" operator="lessThan">
      <formula>0</formula>
    </cfRule>
    <cfRule type="cellIs" dxfId="299" priority="86" operator="greaterThanOrEqual">
      <formula>0</formula>
    </cfRule>
  </conditionalFormatting>
  <conditionalFormatting sqref="C38 AU42:AU43 AQ42 G38 K38 O38 S38 W38 AA38 AE38 AI38 AM38 AQ38 AU38">
    <cfRule type="cellIs" dxfId="298" priority="83" operator="lessThan">
      <formula>0</formula>
    </cfRule>
    <cfRule type="cellIs" dxfId="297" priority="84" operator="greaterThanOrEqual">
      <formula>0</formula>
    </cfRule>
  </conditionalFormatting>
  <conditionalFormatting sqref="D38">
    <cfRule type="cellIs" dxfId="296" priority="76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95" priority="75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94" priority="74" operator="equal">
      <formula>MAX($D$34,$H$34,$L$34,$P$34,$T$34,$X$34,$AB$34,$AF$34,$AJ$34,$AN$34,$AR$34,$AV$34)</formula>
    </cfRule>
  </conditionalFormatting>
  <conditionalFormatting sqref="H3:H33 L3:L33 T3:T33 X3:X33 AB3:AB33 AF3:AF33 AJ3:AJ33 AN3:AN33 AR3:AR33 AV3:AV33 D3:D33 P3:P23 P25:P33">
    <cfRule type="cellIs" dxfId="293" priority="71" stopIfTrue="1" operator="between">
      <formula>0</formula>
      <formula>0.0416550925925926</formula>
    </cfRule>
    <cfRule type="cellIs" dxfId="292" priority="72" stopIfTrue="1" operator="between">
      <formula>0.0416666666666667</formula>
      <formula>0.0833217592592593</formula>
    </cfRule>
    <cfRule type="cellIs" dxfId="291" priority="73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290" priority="59" operator="equal">
      <formula>MAX($D$36,$H$36,$L$36,$P$36,$T$36,$X$36,$AB$36,$AF$36,$AJ$36,$AN$36,$AR$36,$AV$36)</formula>
    </cfRule>
  </conditionalFormatting>
  <conditionalFormatting sqref="AP43">
    <cfRule type="cellIs" dxfId="289" priority="57" operator="lessThan">
      <formula>0</formula>
    </cfRule>
    <cfRule type="cellIs" dxfId="288" priority="58" operator="greaterThanOrEqual">
      <formula>0</formula>
    </cfRule>
  </conditionalFormatting>
  <conditionalFormatting sqref="B3:B33 F3:F33 J3:J33 R3:R33 V3:V33 Z3:Z33 AT3:AT33 AH3:AH33 AL3:AL33 AP3:AP33 N3:N23 N25:N33 AD3:AD33">
    <cfRule type="cellIs" dxfId="287" priority="80" stopIfTrue="1" operator="lessThan">
      <formula>50</formula>
    </cfRule>
    <cfRule type="cellIs" dxfId="286" priority="81" stopIfTrue="1" operator="greaterThanOrEqual">
      <formula>100</formula>
    </cfRule>
    <cfRule type="cellIs" dxfId="285" priority="82" operator="greaterThanOrEqual">
      <formula>50</formula>
    </cfRule>
  </conditionalFormatting>
  <conditionalFormatting sqref="C3:C33 G3:G33 K3:K33 S3:S33 W3:W33 AA3:AA33 AU3:AU33 AI3:AI33 AM3:AM33 AQ3:AQ33 AE3:AE33 O3:O23 O25:O33">
    <cfRule type="cellIs" dxfId="284" priority="77" stopIfTrue="1" operator="between">
      <formula>0</formula>
      <formula>749.99</formula>
    </cfRule>
    <cfRule type="cellIs" dxfId="283" priority="78" stopIfTrue="1" operator="greaterThanOrEqual">
      <formula>1500</formula>
    </cfRule>
    <cfRule type="cellIs" dxfId="282" priority="79" operator="greaterThanOrEqual">
      <formula>750</formula>
    </cfRule>
  </conditionalFormatting>
  <conditionalFormatting sqref="AQ43">
    <cfRule type="cellIs" dxfId="281" priority="55" stopIfTrue="1" operator="lessThan">
      <formula>0</formula>
    </cfRule>
    <cfRule type="cellIs" dxfId="280" priority="56" operator="greaterThanOrEqual">
      <formula>0</formula>
    </cfRule>
  </conditionalFormatting>
  <conditionalFormatting sqref="AL42">
    <cfRule type="cellIs" dxfId="279" priority="50" stopIfTrue="1" operator="lessThan">
      <formula>1000</formula>
    </cfRule>
    <cfRule type="cellIs" dxfId="278" priority="51" stopIfTrue="1" operator="lessThan">
      <formula>1100</formula>
    </cfRule>
    <cfRule type="cellIs" dxfId="277" priority="52" stopIfTrue="1" operator="lessThan">
      <formula>9999</formula>
    </cfRule>
  </conditionalFormatting>
  <conditionalFormatting sqref="AM42">
    <cfRule type="cellIs" dxfId="276" priority="47" stopIfTrue="1" operator="lessThan">
      <formula>10000</formula>
    </cfRule>
    <cfRule type="cellIs" dxfId="275" priority="48" stopIfTrue="1" operator="lessThan">
      <formula>13000</formula>
    </cfRule>
    <cfRule type="cellIs" dxfId="274" priority="49" stopIfTrue="1" operator="lessThan">
      <formula>99999</formula>
    </cfRule>
  </conditionalFormatting>
  <conditionalFormatting sqref="AL43">
    <cfRule type="cellIs" dxfId="273" priority="44" stopIfTrue="1" operator="lessThan">
      <formula>0.05</formula>
    </cfRule>
    <cfRule type="cellIs" dxfId="272" priority="45" stopIfTrue="1" operator="lessThan">
      <formula>0.1</formula>
    </cfRule>
    <cfRule type="cellIs" dxfId="271" priority="46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58">
        <f>AT35+AV35</f>
        <v>7223.52</v>
      </c>
      <c r="C1" s="358"/>
      <c r="D1" s="83" t="s">
        <v>238</v>
      </c>
      <c r="E1" s="359">
        <f>AT35</f>
        <v>6735.92</v>
      </c>
      <c r="F1" s="359"/>
      <c r="G1" s="360" t="s">
        <v>152</v>
      </c>
      <c r="H1" s="360"/>
      <c r="I1" s="356">
        <f>MAX(B36,F36,J36,N36,R36,V36,Z36,AD36,AH36,AL36,AP36,AT36)</f>
        <v>91</v>
      </c>
      <c r="J1" s="356"/>
      <c r="K1" s="361" t="s">
        <v>159</v>
      </c>
      <c r="L1" s="361"/>
      <c r="M1" s="362">
        <f>MAX(B34,F34,J34,N34,R34,V34,Z34,AD34,AH34,AL34,AP34,AT34)</f>
        <v>716.66</v>
      </c>
      <c r="N1" s="362"/>
      <c r="O1" s="355" t="s">
        <v>190</v>
      </c>
      <c r="P1" s="355"/>
      <c r="Q1" s="355"/>
      <c r="R1" s="149">
        <f>MIN(B34,F34,J34,N34,R34,V34,Z34,AD34,AH34,AL34,AP34,AT34)</f>
        <v>244.28</v>
      </c>
      <c r="S1" s="84" t="s">
        <v>207</v>
      </c>
      <c r="T1" s="368">
        <f>IFERROR(AVERAGE(B37,F37,J37,N37,R37,V37,Z37,AD37,AH37,AL37,AP37,AT37),0)</f>
        <v>19.935633656925202</v>
      </c>
      <c r="U1" s="368"/>
      <c r="V1" s="382" t="s">
        <v>832</v>
      </c>
      <c r="W1" s="382"/>
      <c r="X1" s="382"/>
      <c r="Y1" s="382"/>
      <c r="Z1" s="382"/>
      <c r="AA1" s="85" t="s">
        <v>207</v>
      </c>
      <c r="AB1" s="357">
        <f>IFERROR(AVERAGE(C37,G37,K37,O37,S37,W37,AA37,AE37,AI37,AM37,AQ37,AU37),0)</f>
        <v>157.68830549968854</v>
      </c>
      <c r="AC1" s="357"/>
      <c r="AD1" s="367" t="s">
        <v>190</v>
      </c>
      <c r="AE1" s="367"/>
      <c r="AF1" s="370">
        <f>MIN(C34,G34,K34,O34,S34,W34,AA34,AE34,AI34,AM34,AQ34,AU34)</f>
        <v>1676</v>
      </c>
      <c r="AG1" s="370"/>
      <c r="AH1" s="371" t="s">
        <v>159</v>
      </c>
      <c r="AI1" s="371"/>
      <c r="AJ1" s="372">
        <f>MAX(C34,G34,K34,O34,S34,W34,AA34,AE34,AI34,AM34,AQ34,AU34)</f>
        <v>10132</v>
      </c>
      <c r="AK1" s="372"/>
      <c r="AL1" s="374" t="s">
        <v>153</v>
      </c>
      <c r="AM1" s="374"/>
      <c r="AN1" s="373">
        <f>MAX(C36,G36,K36,O36,S36,W36,AA36,AE36,AI36,AM36,AQ36,AU36)</f>
        <v>1965</v>
      </c>
      <c r="AO1" s="373"/>
      <c r="AP1" s="363" t="s">
        <v>361</v>
      </c>
      <c r="AQ1" s="363"/>
      <c r="AR1" s="364">
        <f>MAX(D36,H36,L36,P36,T36,X36,AB36,AF36,AJ36,AN36,AR36,AV36)</f>
        <v>6.9444444444444434E-2</v>
      </c>
      <c r="AS1" s="364"/>
      <c r="AT1" s="81" t="s">
        <v>2</v>
      </c>
      <c r="AU1" s="365">
        <f>AU35</f>
        <v>52549</v>
      </c>
      <c r="AV1" s="366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>
        <v>11.4</v>
      </c>
      <c r="C3" s="55">
        <v>40</v>
      </c>
      <c r="D3" s="150">
        <v>1.0416666666666666E-2</v>
      </c>
      <c r="E3" s="75">
        <v>1</v>
      </c>
      <c r="F3" s="54">
        <v>10.6</v>
      </c>
      <c r="G3" s="55">
        <v>30</v>
      </c>
      <c r="H3" s="150"/>
      <c r="I3" s="75">
        <v>1</v>
      </c>
      <c r="J3" s="54">
        <v>15.53</v>
      </c>
      <c r="K3" s="55">
        <v>20</v>
      </c>
      <c r="L3" s="150"/>
      <c r="M3" s="75">
        <v>1</v>
      </c>
      <c r="N3" s="54">
        <v>18.5</v>
      </c>
      <c r="O3" s="55">
        <v>265</v>
      </c>
      <c r="P3" s="150"/>
      <c r="Q3" s="75">
        <v>1</v>
      </c>
      <c r="R3" s="54">
        <v>15.05</v>
      </c>
      <c r="S3" s="55">
        <v>58</v>
      </c>
      <c r="T3" s="150">
        <v>1.0416666666666666E-2</v>
      </c>
      <c r="U3" s="75">
        <v>1</v>
      </c>
      <c r="V3" s="54">
        <v>14.32</v>
      </c>
      <c r="W3" s="55">
        <v>65</v>
      </c>
      <c r="X3" s="150"/>
      <c r="Y3" s="75">
        <v>1</v>
      </c>
      <c r="Z3" s="54">
        <v>31</v>
      </c>
      <c r="AA3" s="55">
        <v>800</v>
      </c>
      <c r="AB3" s="150"/>
      <c r="AC3" s="75">
        <v>1</v>
      </c>
      <c r="AD3" s="54">
        <v>16.68</v>
      </c>
      <c r="AE3" s="55">
        <v>105</v>
      </c>
      <c r="AF3" s="150"/>
      <c r="AG3" s="75">
        <v>1</v>
      </c>
      <c r="AH3" s="54">
        <v>15.76</v>
      </c>
      <c r="AI3" s="55">
        <v>45</v>
      </c>
      <c r="AJ3" s="150"/>
      <c r="AK3" s="75">
        <v>1</v>
      </c>
      <c r="AL3" s="54">
        <v>15.64</v>
      </c>
      <c r="AM3" s="55">
        <v>90</v>
      </c>
      <c r="AN3" s="150">
        <v>1.0416666666666666E-2</v>
      </c>
      <c r="AO3" s="75">
        <v>1</v>
      </c>
      <c r="AP3" s="54">
        <v>10.66</v>
      </c>
      <c r="AQ3" s="55">
        <v>55</v>
      </c>
      <c r="AR3" s="150">
        <v>1.1805555555555555E-2</v>
      </c>
      <c r="AS3" s="75">
        <v>1</v>
      </c>
      <c r="AT3" s="54">
        <v>12.27</v>
      </c>
      <c r="AU3" s="55">
        <v>40</v>
      </c>
      <c r="AV3" s="150"/>
      <c r="AW3" s="67"/>
    </row>
    <row r="4" spans="1:49" s="49" customFormat="1" ht="11.25" x14ac:dyDescent="0.2">
      <c r="A4" s="73">
        <f t="shared" ref="A4:A33" si="0">A3+1</f>
        <v>2</v>
      </c>
      <c r="B4" s="54">
        <v>11.18</v>
      </c>
      <c r="C4" s="55">
        <v>10</v>
      </c>
      <c r="D4" s="150"/>
      <c r="E4" s="75">
        <f t="shared" ref="E4:E30" si="1">E3+1</f>
        <v>2</v>
      </c>
      <c r="F4" s="54">
        <v>11</v>
      </c>
      <c r="G4" s="55">
        <v>30</v>
      </c>
      <c r="H4" s="150"/>
      <c r="I4" s="75">
        <f t="shared" ref="I4:I33" si="2">I3+1</f>
        <v>2</v>
      </c>
      <c r="J4" s="54">
        <v>10.48</v>
      </c>
      <c r="K4" s="55">
        <v>15</v>
      </c>
      <c r="L4" s="150"/>
      <c r="M4" s="75">
        <f t="shared" ref="M4:M32" si="3">M3+1</f>
        <v>2</v>
      </c>
      <c r="N4" s="54">
        <v>5</v>
      </c>
      <c r="O4" s="55">
        <v>3</v>
      </c>
      <c r="P4" s="150"/>
      <c r="Q4" s="75">
        <f t="shared" ref="Q4:Q33" si="4">Q3+1</f>
        <v>2</v>
      </c>
      <c r="R4" s="54">
        <v>6.4</v>
      </c>
      <c r="S4" s="55">
        <v>10</v>
      </c>
      <c r="T4" s="150"/>
      <c r="U4" s="75">
        <f t="shared" ref="U4:U32" si="5">U3+1</f>
        <v>2</v>
      </c>
      <c r="V4" s="54">
        <v>12.79</v>
      </c>
      <c r="W4" s="55">
        <v>16</v>
      </c>
      <c r="X4" s="150"/>
      <c r="Y4" s="75">
        <f t="shared" ref="Y4:Y33" si="6">Y3+1</f>
        <v>2</v>
      </c>
      <c r="Z4" s="54">
        <v>17.329999999999998</v>
      </c>
      <c r="AA4" s="55">
        <v>125</v>
      </c>
      <c r="AB4" s="150"/>
      <c r="AC4" s="75">
        <f t="shared" ref="AC4:AC33" si="7">AC3+1</f>
        <v>2</v>
      </c>
      <c r="AD4" s="54">
        <v>17.03</v>
      </c>
      <c r="AE4" s="55">
        <v>40</v>
      </c>
      <c r="AF4" s="150"/>
      <c r="AG4" s="75">
        <f>AG3+1</f>
        <v>2</v>
      </c>
      <c r="AH4" s="54">
        <v>42.06</v>
      </c>
      <c r="AI4" s="55">
        <v>360</v>
      </c>
      <c r="AJ4" s="150"/>
      <c r="AK4" s="75">
        <f>AK3+1</f>
        <v>2</v>
      </c>
      <c r="AL4" s="54">
        <v>17.8</v>
      </c>
      <c r="AM4" s="55">
        <v>80</v>
      </c>
      <c r="AN4" s="150"/>
      <c r="AO4" s="75">
        <f>AO3+1</f>
        <v>2</v>
      </c>
      <c r="AP4" s="54">
        <v>10</v>
      </c>
      <c r="AQ4" s="55">
        <v>10</v>
      </c>
      <c r="AR4" s="150"/>
      <c r="AS4" s="75">
        <f>AS3+1</f>
        <v>2</v>
      </c>
      <c r="AT4" s="54">
        <v>22.85</v>
      </c>
      <c r="AU4" s="55">
        <v>40</v>
      </c>
      <c r="AV4" s="150"/>
      <c r="AW4" s="67"/>
    </row>
    <row r="5" spans="1:49" s="49" customFormat="1" ht="11.25" x14ac:dyDescent="0.2">
      <c r="A5" s="73">
        <f t="shared" si="0"/>
        <v>3</v>
      </c>
      <c r="B5" s="54">
        <v>11.1</v>
      </c>
      <c r="C5" s="55">
        <v>20</v>
      </c>
      <c r="D5" s="150"/>
      <c r="E5" s="75">
        <f t="shared" si="1"/>
        <v>3</v>
      </c>
      <c r="F5" s="54">
        <v>5</v>
      </c>
      <c r="G5" s="55">
        <v>3</v>
      </c>
      <c r="H5" s="150"/>
      <c r="I5" s="75">
        <f t="shared" si="2"/>
        <v>3</v>
      </c>
      <c r="J5" s="54">
        <v>24.66</v>
      </c>
      <c r="K5" s="55">
        <v>25</v>
      </c>
      <c r="L5" s="150"/>
      <c r="M5" s="75">
        <f t="shared" si="3"/>
        <v>3</v>
      </c>
      <c r="N5" s="54">
        <v>5.64</v>
      </c>
      <c r="O5" s="55">
        <v>7</v>
      </c>
      <c r="P5" s="150"/>
      <c r="Q5" s="75">
        <f t="shared" si="4"/>
        <v>3</v>
      </c>
      <c r="R5" s="54">
        <v>13.1</v>
      </c>
      <c r="S5" s="55">
        <v>21</v>
      </c>
      <c r="T5" s="150"/>
      <c r="U5" s="75">
        <f t="shared" si="5"/>
        <v>3</v>
      </c>
      <c r="V5" s="54">
        <v>24.240000000000002</v>
      </c>
      <c r="W5" s="55">
        <v>393</v>
      </c>
      <c r="X5" s="150"/>
      <c r="Y5" s="75">
        <f t="shared" si="6"/>
        <v>3</v>
      </c>
      <c r="Z5" s="54">
        <v>25.02</v>
      </c>
      <c r="AA5" s="55">
        <v>248</v>
      </c>
      <c r="AB5" s="150"/>
      <c r="AC5" s="75">
        <f t="shared" si="7"/>
        <v>3</v>
      </c>
      <c r="AD5" s="54">
        <v>6</v>
      </c>
      <c r="AE5" s="55">
        <v>3</v>
      </c>
      <c r="AF5" s="150"/>
      <c r="AG5" s="75">
        <f t="shared" ref="AG5:AG32" si="8">AG4+1</f>
        <v>3</v>
      </c>
      <c r="AH5" s="54">
        <v>29.72</v>
      </c>
      <c r="AI5" s="55">
        <v>501</v>
      </c>
      <c r="AJ5" s="150"/>
      <c r="AK5" s="75">
        <f t="shared" ref="AK5:AK33" si="9">AK4+1</f>
        <v>3</v>
      </c>
      <c r="AL5" s="54">
        <v>16.84</v>
      </c>
      <c r="AM5" s="55">
        <v>45</v>
      </c>
      <c r="AN5" s="150"/>
      <c r="AO5" s="75">
        <f t="shared" ref="AO5:AO32" si="10">AO4+1</f>
        <v>3</v>
      </c>
      <c r="AP5" s="54">
        <v>15.86</v>
      </c>
      <c r="AQ5" s="55">
        <v>30</v>
      </c>
      <c r="AR5" s="150"/>
      <c r="AS5" s="75">
        <f t="shared" ref="AS5:AS33" si="11">AS4+1</f>
        <v>3</v>
      </c>
      <c r="AT5" s="54">
        <v>11.66</v>
      </c>
      <c r="AU5" s="55">
        <v>10</v>
      </c>
      <c r="AV5" s="150">
        <v>1.0416666666666666E-2</v>
      </c>
      <c r="AW5" s="67"/>
    </row>
    <row r="6" spans="1:49" s="49" customFormat="1" ht="11.25" x14ac:dyDescent="0.2">
      <c r="A6" s="73">
        <f t="shared" si="0"/>
        <v>4</v>
      </c>
      <c r="B6" s="54">
        <v>5</v>
      </c>
      <c r="C6" s="55">
        <v>3</v>
      </c>
      <c r="D6" s="150"/>
      <c r="E6" s="75">
        <f t="shared" si="1"/>
        <v>4</v>
      </c>
      <c r="F6" s="54">
        <v>14.21</v>
      </c>
      <c r="G6" s="55">
        <v>66</v>
      </c>
      <c r="H6" s="150">
        <v>1.3888888888888888E-2</v>
      </c>
      <c r="I6" s="75">
        <f t="shared" si="2"/>
        <v>4</v>
      </c>
      <c r="J6" s="54">
        <v>25.92</v>
      </c>
      <c r="K6" s="55">
        <v>124</v>
      </c>
      <c r="L6" s="150">
        <v>1.3888888888888888E-2</v>
      </c>
      <c r="M6" s="75">
        <f t="shared" si="3"/>
        <v>4</v>
      </c>
      <c r="N6" s="54">
        <v>13.38</v>
      </c>
      <c r="O6" s="55">
        <v>30</v>
      </c>
      <c r="P6" s="150">
        <v>6.9444444444444441E-3</v>
      </c>
      <c r="Q6" s="75">
        <f t="shared" si="4"/>
        <v>4</v>
      </c>
      <c r="R6" s="54">
        <v>20.43</v>
      </c>
      <c r="S6" s="55">
        <v>40</v>
      </c>
      <c r="T6" s="150"/>
      <c r="U6" s="75">
        <f t="shared" si="5"/>
        <v>4</v>
      </c>
      <c r="V6" s="54">
        <v>37.729999999999997</v>
      </c>
      <c r="W6" s="55">
        <v>277</v>
      </c>
      <c r="X6" s="150"/>
      <c r="Y6" s="75">
        <f t="shared" si="6"/>
        <v>4</v>
      </c>
      <c r="Z6" s="54">
        <v>20.75</v>
      </c>
      <c r="AA6" s="55">
        <v>45</v>
      </c>
      <c r="AB6" s="150"/>
      <c r="AC6" s="75">
        <f t="shared" si="7"/>
        <v>4</v>
      </c>
      <c r="AD6" s="54">
        <v>5.43</v>
      </c>
      <c r="AE6" s="55">
        <v>3</v>
      </c>
      <c r="AF6" s="150"/>
      <c r="AG6" s="75">
        <f t="shared" si="8"/>
        <v>4</v>
      </c>
      <c r="AH6" s="54">
        <v>16.3</v>
      </c>
      <c r="AI6" s="55">
        <v>65</v>
      </c>
      <c r="AJ6" s="150"/>
      <c r="AK6" s="75">
        <f t="shared" si="9"/>
        <v>4</v>
      </c>
      <c r="AL6" s="54">
        <v>10.050000000000001</v>
      </c>
      <c r="AM6" s="55">
        <v>30</v>
      </c>
      <c r="AN6" s="150"/>
      <c r="AO6" s="75">
        <f t="shared" si="10"/>
        <v>4</v>
      </c>
      <c r="AP6" s="54">
        <v>21</v>
      </c>
      <c r="AQ6" s="55">
        <v>380</v>
      </c>
      <c r="AR6" s="150"/>
      <c r="AS6" s="75">
        <f t="shared" si="11"/>
        <v>4</v>
      </c>
      <c r="AT6" s="54">
        <v>24.6</v>
      </c>
      <c r="AU6" s="55">
        <v>135</v>
      </c>
      <c r="AV6" s="150"/>
      <c r="AW6" s="67"/>
    </row>
    <row r="7" spans="1:49" s="49" customFormat="1" ht="11.25" x14ac:dyDescent="0.2">
      <c r="A7" s="73">
        <f t="shared" si="0"/>
        <v>5</v>
      </c>
      <c r="B7" s="54"/>
      <c r="C7" s="55"/>
      <c r="D7" s="150"/>
      <c r="E7" s="75">
        <f t="shared" si="1"/>
        <v>5</v>
      </c>
      <c r="F7" s="54">
        <v>20.100000000000001</v>
      </c>
      <c r="G7" s="55">
        <v>170</v>
      </c>
      <c r="H7" s="150">
        <v>6.25E-2</v>
      </c>
      <c r="I7" s="75">
        <f t="shared" si="2"/>
        <v>5</v>
      </c>
      <c r="J7" s="54">
        <v>24.810000000000002</v>
      </c>
      <c r="K7" s="55">
        <v>105</v>
      </c>
      <c r="L7" s="150"/>
      <c r="M7" s="75">
        <f t="shared" si="3"/>
        <v>5</v>
      </c>
      <c r="N7" s="54">
        <v>16.88</v>
      </c>
      <c r="O7" s="55">
        <v>30</v>
      </c>
      <c r="P7" s="150"/>
      <c r="Q7" s="75">
        <f t="shared" si="4"/>
        <v>5</v>
      </c>
      <c r="R7" s="54">
        <v>16.23</v>
      </c>
      <c r="S7" s="55">
        <v>338</v>
      </c>
      <c r="T7" s="150"/>
      <c r="U7" s="75">
        <f t="shared" si="5"/>
        <v>5</v>
      </c>
      <c r="V7" s="54">
        <v>10.1</v>
      </c>
      <c r="W7" s="55">
        <v>306</v>
      </c>
      <c r="X7" s="150">
        <v>2.2222222222222223E-2</v>
      </c>
      <c r="Y7" s="75">
        <f t="shared" si="6"/>
        <v>5</v>
      </c>
      <c r="Z7" s="54">
        <v>21.5</v>
      </c>
      <c r="AA7" s="55">
        <v>40</v>
      </c>
      <c r="AB7" s="150"/>
      <c r="AC7" s="75">
        <f t="shared" si="7"/>
        <v>5</v>
      </c>
      <c r="AD7" s="54">
        <v>51.879999999999995</v>
      </c>
      <c r="AE7" s="55">
        <v>435</v>
      </c>
      <c r="AF7" s="150"/>
      <c r="AG7" s="75">
        <f t="shared" si="8"/>
        <v>5</v>
      </c>
      <c r="AH7" s="54">
        <v>10.130000000000001</v>
      </c>
      <c r="AI7" s="55">
        <v>10</v>
      </c>
      <c r="AJ7" s="150"/>
      <c r="AK7" s="75">
        <f t="shared" si="9"/>
        <v>5</v>
      </c>
      <c r="AL7" s="54">
        <v>10.1</v>
      </c>
      <c r="AM7" s="55">
        <v>15</v>
      </c>
      <c r="AN7" s="150"/>
      <c r="AO7" s="75">
        <f t="shared" si="10"/>
        <v>5</v>
      </c>
      <c r="AP7" s="54">
        <v>11.24</v>
      </c>
      <c r="AQ7" s="55">
        <v>10</v>
      </c>
      <c r="AR7" s="150">
        <v>1.0416666666666666E-2</v>
      </c>
      <c r="AS7" s="75">
        <f t="shared" si="11"/>
        <v>5</v>
      </c>
      <c r="AT7" s="54">
        <v>7.52</v>
      </c>
      <c r="AU7" s="55">
        <v>28</v>
      </c>
      <c r="AV7" s="150"/>
      <c r="AW7" s="67"/>
    </row>
    <row r="8" spans="1:49" s="49" customFormat="1" ht="11.25" x14ac:dyDescent="0.2">
      <c r="A8" s="73">
        <f t="shared" si="0"/>
        <v>6</v>
      </c>
      <c r="B8" s="54">
        <v>20.67</v>
      </c>
      <c r="C8" s="55">
        <v>45</v>
      </c>
      <c r="D8" s="150"/>
      <c r="E8" s="75">
        <f t="shared" si="1"/>
        <v>6</v>
      </c>
      <c r="F8" s="54">
        <v>13.64</v>
      </c>
      <c r="G8" s="55">
        <v>40</v>
      </c>
      <c r="H8" s="150"/>
      <c r="I8" s="75">
        <f t="shared" si="2"/>
        <v>6</v>
      </c>
      <c r="J8" s="54"/>
      <c r="K8" s="55"/>
      <c r="L8" s="150"/>
      <c r="M8" s="75">
        <f t="shared" si="3"/>
        <v>6</v>
      </c>
      <c r="N8" s="54">
        <v>13.75</v>
      </c>
      <c r="O8" s="55">
        <v>140</v>
      </c>
      <c r="P8" s="150"/>
      <c r="Q8" s="75">
        <f t="shared" si="4"/>
        <v>6</v>
      </c>
      <c r="R8" s="54">
        <v>65.3</v>
      </c>
      <c r="S8" s="55">
        <v>577</v>
      </c>
      <c r="T8" s="150"/>
      <c r="U8" s="75">
        <f t="shared" si="5"/>
        <v>6</v>
      </c>
      <c r="V8" s="54">
        <v>5.13</v>
      </c>
      <c r="W8" s="55">
        <v>3</v>
      </c>
      <c r="X8" s="150"/>
      <c r="Y8" s="75">
        <f t="shared" si="6"/>
        <v>6</v>
      </c>
      <c r="Z8" s="54">
        <v>22.73</v>
      </c>
      <c r="AA8" s="55">
        <v>172</v>
      </c>
      <c r="AB8" s="150"/>
      <c r="AC8" s="75">
        <f t="shared" si="7"/>
        <v>6</v>
      </c>
      <c r="AD8" s="54">
        <v>63.9</v>
      </c>
      <c r="AE8" s="55">
        <v>1075</v>
      </c>
      <c r="AF8" s="150">
        <v>2.7777777777777776E-2</v>
      </c>
      <c r="AG8" s="75">
        <f t="shared" si="8"/>
        <v>6</v>
      </c>
      <c r="AH8" s="54">
        <v>12.24</v>
      </c>
      <c r="AI8" s="55">
        <v>25</v>
      </c>
      <c r="AJ8" s="150"/>
      <c r="AK8" s="75">
        <f t="shared" si="9"/>
        <v>6</v>
      </c>
      <c r="AL8" s="54">
        <v>13.81</v>
      </c>
      <c r="AM8" s="55">
        <v>60</v>
      </c>
      <c r="AN8" s="150">
        <v>1.3888888888888888E-2</v>
      </c>
      <c r="AO8" s="75">
        <f t="shared" si="10"/>
        <v>6</v>
      </c>
      <c r="AP8" s="54">
        <v>36.680000000000007</v>
      </c>
      <c r="AQ8" s="55">
        <v>220</v>
      </c>
      <c r="AR8" s="150"/>
      <c r="AS8" s="75">
        <f t="shared" si="11"/>
        <v>6</v>
      </c>
      <c r="AT8" s="54">
        <v>7.6</v>
      </c>
      <c r="AU8" s="55">
        <v>10</v>
      </c>
      <c r="AV8" s="150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50"/>
      <c r="E9" s="75">
        <f t="shared" si="1"/>
        <v>7</v>
      </c>
      <c r="F9" s="54">
        <v>12.8</v>
      </c>
      <c r="G9" s="55">
        <v>67</v>
      </c>
      <c r="H9" s="150"/>
      <c r="I9" s="75">
        <f t="shared" si="2"/>
        <v>7</v>
      </c>
      <c r="J9" s="54">
        <v>10.5</v>
      </c>
      <c r="K9" s="55">
        <v>30</v>
      </c>
      <c r="L9" s="150"/>
      <c r="M9" s="75">
        <f t="shared" si="3"/>
        <v>7</v>
      </c>
      <c r="N9" s="54">
        <v>16.23</v>
      </c>
      <c r="O9" s="55">
        <v>338</v>
      </c>
      <c r="P9" s="150"/>
      <c r="Q9" s="75">
        <f t="shared" si="4"/>
        <v>7</v>
      </c>
      <c r="R9" s="54">
        <v>14.91</v>
      </c>
      <c r="S9" s="55">
        <v>80</v>
      </c>
      <c r="T9" s="150">
        <v>1.0416666666666666E-2</v>
      </c>
      <c r="U9" s="75">
        <f t="shared" si="5"/>
        <v>7</v>
      </c>
      <c r="V9" s="54">
        <v>13.34</v>
      </c>
      <c r="W9" s="55">
        <v>30</v>
      </c>
      <c r="X9" s="150">
        <v>2.2222222222222223E-2</v>
      </c>
      <c r="Y9" s="75">
        <f t="shared" si="6"/>
        <v>7</v>
      </c>
      <c r="Z9" s="54">
        <v>22</v>
      </c>
      <c r="AA9" s="55">
        <v>35</v>
      </c>
      <c r="AB9" s="150"/>
      <c r="AC9" s="75">
        <f t="shared" si="7"/>
        <v>7</v>
      </c>
      <c r="AD9" s="54">
        <v>11</v>
      </c>
      <c r="AE9" s="55">
        <v>50</v>
      </c>
      <c r="AF9" s="150"/>
      <c r="AG9" s="75">
        <f t="shared" si="8"/>
        <v>7</v>
      </c>
      <c r="AH9" s="54">
        <v>12.87</v>
      </c>
      <c r="AI9" s="55">
        <v>70</v>
      </c>
      <c r="AJ9" s="150"/>
      <c r="AK9" s="75">
        <f t="shared" si="9"/>
        <v>7</v>
      </c>
      <c r="AL9" s="54">
        <v>44.260000000000005</v>
      </c>
      <c r="AM9" s="55">
        <v>465</v>
      </c>
      <c r="AN9" s="150"/>
      <c r="AO9" s="75">
        <f t="shared" si="10"/>
        <v>7</v>
      </c>
      <c r="AP9" s="54">
        <v>10</v>
      </c>
      <c r="AQ9" s="55">
        <v>30</v>
      </c>
      <c r="AR9" s="150"/>
      <c r="AS9" s="75">
        <f t="shared" si="11"/>
        <v>7</v>
      </c>
      <c r="AT9" s="54">
        <v>21.3</v>
      </c>
      <c r="AU9" s="55">
        <v>280</v>
      </c>
      <c r="AV9" s="150"/>
      <c r="AW9" s="67"/>
    </row>
    <row r="10" spans="1:49" s="49" customFormat="1" ht="11.25" x14ac:dyDescent="0.2">
      <c r="A10" s="73">
        <f t="shared" si="0"/>
        <v>8</v>
      </c>
      <c r="B10" s="54"/>
      <c r="C10" s="55"/>
      <c r="D10" s="150"/>
      <c r="E10" s="75">
        <f t="shared" si="1"/>
        <v>8</v>
      </c>
      <c r="F10" s="54">
        <v>17.29</v>
      </c>
      <c r="G10" s="55">
        <v>100</v>
      </c>
      <c r="H10" s="150"/>
      <c r="I10" s="75">
        <f t="shared" si="2"/>
        <v>8</v>
      </c>
      <c r="J10" s="54"/>
      <c r="K10" s="55"/>
      <c r="L10" s="150"/>
      <c r="M10" s="75">
        <f t="shared" si="3"/>
        <v>8</v>
      </c>
      <c r="N10" s="54">
        <v>24.66</v>
      </c>
      <c r="O10" s="55">
        <v>25</v>
      </c>
      <c r="P10" s="150"/>
      <c r="Q10" s="75">
        <f t="shared" si="4"/>
        <v>8</v>
      </c>
      <c r="R10" s="54">
        <v>10.050000000000001</v>
      </c>
      <c r="S10" s="55">
        <v>45</v>
      </c>
      <c r="T10" s="150"/>
      <c r="U10" s="75">
        <f t="shared" si="5"/>
        <v>8</v>
      </c>
      <c r="V10" s="54">
        <v>10.66</v>
      </c>
      <c r="W10" s="55">
        <v>10</v>
      </c>
      <c r="X10" s="150"/>
      <c r="Y10" s="75">
        <f t="shared" si="6"/>
        <v>8</v>
      </c>
      <c r="Z10" s="54">
        <v>54.36999999999999</v>
      </c>
      <c r="AA10" s="55">
        <v>600</v>
      </c>
      <c r="AB10" s="150"/>
      <c r="AC10" s="75">
        <f t="shared" si="7"/>
        <v>8</v>
      </c>
      <c r="AD10" s="54">
        <v>12.81</v>
      </c>
      <c r="AE10" s="55">
        <v>40</v>
      </c>
      <c r="AF10" s="150"/>
      <c r="AG10" s="75">
        <f t="shared" si="8"/>
        <v>8</v>
      </c>
      <c r="AH10" s="54">
        <v>14.63</v>
      </c>
      <c r="AI10" s="49">
        <v>30</v>
      </c>
      <c r="AJ10" s="150"/>
      <c r="AK10" s="75">
        <f t="shared" si="9"/>
        <v>8</v>
      </c>
      <c r="AL10" s="54">
        <v>52.48</v>
      </c>
      <c r="AM10" s="55">
        <v>85</v>
      </c>
      <c r="AN10" s="150"/>
      <c r="AO10" s="75">
        <f t="shared" si="10"/>
        <v>8</v>
      </c>
      <c r="AP10" s="54">
        <v>22.42</v>
      </c>
      <c r="AQ10" s="55">
        <v>40</v>
      </c>
      <c r="AR10" s="150"/>
      <c r="AS10" s="75">
        <f t="shared" si="11"/>
        <v>8</v>
      </c>
      <c r="AT10" s="54">
        <v>11.75</v>
      </c>
      <c r="AU10" s="55">
        <v>40</v>
      </c>
      <c r="AV10" s="150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50"/>
      <c r="E11" s="75">
        <f t="shared" si="1"/>
        <v>9</v>
      </c>
      <c r="F11" s="54">
        <v>20.16</v>
      </c>
      <c r="G11" s="55">
        <v>30</v>
      </c>
      <c r="H11" s="150"/>
      <c r="I11" s="75">
        <f t="shared" si="2"/>
        <v>9</v>
      </c>
      <c r="J11" s="54">
        <v>17.82</v>
      </c>
      <c r="K11" s="55">
        <v>20</v>
      </c>
      <c r="L11" s="150"/>
      <c r="M11" s="75">
        <f t="shared" si="3"/>
        <v>9</v>
      </c>
      <c r="N11" s="54">
        <v>21.05</v>
      </c>
      <c r="O11" s="55">
        <v>215</v>
      </c>
      <c r="P11" s="150">
        <v>1.7361111111111112E-2</v>
      </c>
      <c r="Q11" s="75">
        <f t="shared" si="4"/>
        <v>9</v>
      </c>
      <c r="R11" s="54">
        <v>11.08</v>
      </c>
      <c r="S11" s="55">
        <v>50</v>
      </c>
      <c r="T11" s="150"/>
      <c r="U11" s="75">
        <f t="shared" si="5"/>
        <v>9</v>
      </c>
      <c r="V11" s="54">
        <v>17.96</v>
      </c>
      <c r="W11" s="55">
        <v>60</v>
      </c>
      <c r="X11" s="150">
        <v>2.4305555555555556E-2</v>
      </c>
      <c r="Y11" s="75">
        <f t="shared" si="6"/>
        <v>9</v>
      </c>
      <c r="Z11" s="54">
        <v>26.65</v>
      </c>
      <c r="AA11" s="55">
        <v>220</v>
      </c>
      <c r="AB11" s="150"/>
      <c r="AC11" s="75">
        <f t="shared" si="7"/>
        <v>9</v>
      </c>
      <c r="AD11" s="54">
        <v>12.07</v>
      </c>
      <c r="AE11" s="55">
        <v>45</v>
      </c>
      <c r="AF11" s="150"/>
      <c r="AG11" s="75">
        <f t="shared" si="8"/>
        <v>9</v>
      </c>
      <c r="AH11" s="54">
        <v>30</v>
      </c>
      <c r="AI11" s="55">
        <v>28</v>
      </c>
      <c r="AJ11" s="150"/>
      <c r="AK11" s="75">
        <f t="shared" si="9"/>
        <v>9</v>
      </c>
      <c r="AL11" s="54">
        <v>11.11</v>
      </c>
      <c r="AM11" s="55">
        <v>25</v>
      </c>
      <c r="AN11" s="150"/>
      <c r="AO11" s="75">
        <f t="shared" si="10"/>
        <v>9</v>
      </c>
      <c r="AP11" s="54">
        <v>10.48</v>
      </c>
      <c r="AQ11" s="55">
        <v>30</v>
      </c>
      <c r="AR11" s="150"/>
      <c r="AS11" s="75">
        <f t="shared" si="11"/>
        <v>9</v>
      </c>
      <c r="AT11" s="54">
        <v>30.4</v>
      </c>
      <c r="AU11" s="55">
        <v>50</v>
      </c>
      <c r="AV11" s="150"/>
      <c r="AW11" s="67"/>
    </row>
    <row r="12" spans="1:49" s="49" customFormat="1" ht="11.25" x14ac:dyDescent="0.2">
      <c r="A12" s="73">
        <f t="shared" si="0"/>
        <v>10</v>
      </c>
      <c r="B12" s="54"/>
      <c r="C12" s="55"/>
      <c r="D12" s="150"/>
      <c r="E12" s="75">
        <f t="shared" si="1"/>
        <v>10</v>
      </c>
      <c r="F12" s="54">
        <v>10.11</v>
      </c>
      <c r="G12" s="55">
        <v>20</v>
      </c>
      <c r="H12" s="150"/>
      <c r="I12" s="75">
        <f t="shared" si="2"/>
        <v>10</v>
      </c>
      <c r="J12" s="54">
        <v>14.089999999999998</v>
      </c>
      <c r="K12" s="55">
        <v>347</v>
      </c>
      <c r="L12" s="150"/>
      <c r="M12" s="75">
        <f t="shared" si="3"/>
        <v>10</v>
      </c>
      <c r="N12" s="54">
        <v>14.219999999999999</v>
      </c>
      <c r="O12" s="55">
        <v>90</v>
      </c>
      <c r="P12" s="150"/>
      <c r="Q12" s="75">
        <f t="shared" si="4"/>
        <v>10</v>
      </c>
      <c r="R12" s="54">
        <v>29.11</v>
      </c>
      <c r="S12" s="55">
        <v>170</v>
      </c>
      <c r="T12" s="150"/>
      <c r="U12" s="75">
        <f t="shared" si="5"/>
        <v>10</v>
      </c>
      <c r="V12" s="54">
        <v>38.730000000000004</v>
      </c>
      <c r="W12" s="55">
        <v>490</v>
      </c>
      <c r="X12" s="150"/>
      <c r="Y12" s="75">
        <f t="shared" si="6"/>
        <v>10</v>
      </c>
      <c r="Z12" s="54">
        <v>10.039999999999999</v>
      </c>
      <c r="AA12" s="55">
        <v>35</v>
      </c>
      <c r="AB12" s="150"/>
      <c r="AC12" s="75">
        <f t="shared" si="7"/>
        <v>10</v>
      </c>
      <c r="AD12" s="54">
        <v>5.2</v>
      </c>
      <c r="AE12" s="55">
        <v>20</v>
      </c>
      <c r="AF12" s="150"/>
      <c r="AG12" s="75">
        <f t="shared" si="8"/>
        <v>10</v>
      </c>
      <c r="AH12" s="54">
        <v>15.7</v>
      </c>
      <c r="AI12" s="49">
        <v>90</v>
      </c>
      <c r="AJ12" s="150">
        <v>1.3888888888888888E-2</v>
      </c>
      <c r="AK12" s="75">
        <f t="shared" si="9"/>
        <v>10</v>
      </c>
      <c r="AL12" s="54">
        <v>11</v>
      </c>
      <c r="AM12" s="55">
        <v>30</v>
      </c>
      <c r="AN12" s="150"/>
      <c r="AO12" s="75">
        <f t="shared" si="10"/>
        <v>10</v>
      </c>
      <c r="AP12" s="54">
        <v>14.53</v>
      </c>
      <c r="AQ12" s="55">
        <v>15</v>
      </c>
      <c r="AR12" s="150"/>
      <c r="AS12" s="75">
        <f t="shared" si="11"/>
        <v>10</v>
      </c>
      <c r="AT12" s="54">
        <v>10.45</v>
      </c>
      <c r="AU12" s="55">
        <v>6</v>
      </c>
      <c r="AV12" s="150"/>
      <c r="AW12" s="67"/>
    </row>
    <row r="13" spans="1:49" s="49" customFormat="1" ht="11.25" x14ac:dyDescent="0.2">
      <c r="A13" s="73">
        <f t="shared" si="0"/>
        <v>11</v>
      </c>
      <c r="B13" s="54"/>
      <c r="C13" s="55"/>
      <c r="D13" s="150"/>
      <c r="E13" s="75">
        <f t="shared" si="1"/>
        <v>11</v>
      </c>
      <c r="F13" s="54">
        <v>20.329999999999998</v>
      </c>
      <c r="G13" s="55">
        <v>333</v>
      </c>
      <c r="H13" s="150">
        <v>3.125E-2</v>
      </c>
      <c r="I13" s="75">
        <f t="shared" si="2"/>
        <v>11</v>
      </c>
      <c r="J13" s="54">
        <v>68.069999999999993</v>
      </c>
      <c r="K13" s="55">
        <v>213</v>
      </c>
      <c r="L13" s="150"/>
      <c r="M13" s="75">
        <f t="shared" si="3"/>
        <v>11</v>
      </c>
      <c r="N13" s="54">
        <v>13.75</v>
      </c>
      <c r="O13" s="55">
        <v>140</v>
      </c>
      <c r="P13" s="150"/>
      <c r="Q13" s="75">
        <f t="shared" si="4"/>
        <v>11</v>
      </c>
      <c r="R13" s="54">
        <v>11.35</v>
      </c>
      <c r="S13" s="55">
        <v>35</v>
      </c>
      <c r="T13" s="150">
        <v>1.0416666666666666E-2</v>
      </c>
      <c r="U13" s="75">
        <f t="shared" si="5"/>
        <v>11</v>
      </c>
      <c r="V13" s="54">
        <v>91</v>
      </c>
      <c r="W13" s="55">
        <v>1065</v>
      </c>
      <c r="X13" s="150"/>
      <c r="Y13" s="75">
        <f t="shared" si="6"/>
        <v>11</v>
      </c>
      <c r="Z13" s="54">
        <v>10.57</v>
      </c>
      <c r="AA13" s="55">
        <v>25</v>
      </c>
      <c r="AB13" s="150"/>
      <c r="AC13" s="75">
        <f t="shared" si="7"/>
        <v>11</v>
      </c>
      <c r="AD13" s="54">
        <v>5</v>
      </c>
      <c r="AE13" s="55">
        <v>3</v>
      </c>
      <c r="AF13" s="150">
        <v>2.4305555555555556E-2</v>
      </c>
      <c r="AG13" s="75">
        <f t="shared" si="8"/>
        <v>11</v>
      </c>
      <c r="AH13" s="54">
        <v>11.5</v>
      </c>
      <c r="AI13" s="55">
        <v>15</v>
      </c>
      <c r="AJ13" s="150"/>
      <c r="AK13" s="75">
        <f t="shared" si="9"/>
        <v>11</v>
      </c>
      <c r="AL13" s="54">
        <v>14.219999999999999</v>
      </c>
      <c r="AM13" s="55">
        <v>90</v>
      </c>
      <c r="AN13" s="150"/>
      <c r="AO13" s="75">
        <f t="shared" si="10"/>
        <v>11</v>
      </c>
      <c r="AP13" s="54">
        <v>28.560000000000002</v>
      </c>
      <c r="AQ13" s="55">
        <v>396</v>
      </c>
      <c r="AR13" s="150"/>
      <c r="AS13" s="75">
        <f t="shared" si="11"/>
        <v>11</v>
      </c>
      <c r="AT13" s="54">
        <v>6</v>
      </c>
      <c r="AU13" s="55">
        <v>3</v>
      </c>
      <c r="AV13" s="150">
        <v>4.1666666666666664E-2</v>
      </c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50"/>
      <c r="E14" s="75">
        <f t="shared" si="1"/>
        <v>12</v>
      </c>
      <c r="F14" s="54">
        <v>61.1</v>
      </c>
      <c r="G14" s="55">
        <v>540</v>
      </c>
      <c r="H14" s="150"/>
      <c r="I14" s="75">
        <f t="shared" si="2"/>
        <v>12</v>
      </c>
      <c r="J14" s="54">
        <v>39.249999999999993</v>
      </c>
      <c r="K14" s="55">
        <v>803</v>
      </c>
      <c r="L14" s="150"/>
      <c r="M14" s="75">
        <f t="shared" si="3"/>
        <v>12</v>
      </c>
      <c r="N14" s="54"/>
      <c r="O14" s="55"/>
      <c r="P14" s="150">
        <v>1.0416666666666666E-2</v>
      </c>
      <c r="Q14" s="75">
        <f t="shared" si="4"/>
        <v>12</v>
      </c>
      <c r="R14" s="54">
        <v>13.32</v>
      </c>
      <c r="S14" s="55">
        <v>80</v>
      </c>
      <c r="T14" s="150"/>
      <c r="U14" s="75">
        <f t="shared" si="5"/>
        <v>12</v>
      </c>
      <c r="V14" s="54">
        <v>10.19</v>
      </c>
      <c r="W14" s="55">
        <v>25</v>
      </c>
      <c r="X14" s="150"/>
      <c r="Y14" s="75">
        <f t="shared" si="6"/>
        <v>12</v>
      </c>
      <c r="Z14" s="54">
        <v>5.7</v>
      </c>
      <c r="AA14" s="55">
        <v>3</v>
      </c>
      <c r="AB14" s="150"/>
      <c r="AC14" s="75">
        <f t="shared" si="7"/>
        <v>12</v>
      </c>
      <c r="AD14" s="54">
        <v>20.09</v>
      </c>
      <c r="AE14" s="78">
        <v>70</v>
      </c>
      <c r="AF14" s="150"/>
      <c r="AG14" s="75">
        <f t="shared" si="8"/>
        <v>12</v>
      </c>
      <c r="AH14" s="54"/>
      <c r="AI14" s="55"/>
      <c r="AJ14" s="150"/>
      <c r="AK14" s="75">
        <f t="shared" si="9"/>
        <v>12</v>
      </c>
      <c r="AL14" s="54">
        <v>20.399999999999999</v>
      </c>
      <c r="AM14" s="55">
        <v>30</v>
      </c>
      <c r="AN14" s="150"/>
      <c r="AO14" s="75">
        <f t="shared" si="10"/>
        <v>12</v>
      </c>
      <c r="AP14" s="54">
        <v>14.19</v>
      </c>
      <c r="AQ14" s="55">
        <v>15</v>
      </c>
      <c r="AR14" s="150">
        <v>4.8611111111111112E-2</v>
      </c>
      <c r="AS14" s="75">
        <f t="shared" si="11"/>
        <v>12</v>
      </c>
      <c r="AT14" s="54"/>
      <c r="AU14" s="55"/>
      <c r="AV14" s="150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50"/>
      <c r="E15" s="75">
        <f t="shared" si="1"/>
        <v>13</v>
      </c>
      <c r="F15" s="54">
        <v>15.4</v>
      </c>
      <c r="G15" s="55">
        <v>40</v>
      </c>
      <c r="H15" s="150"/>
      <c r="I15" s="75">
        <f t="shared" si="2"/>
        <v>13</v>
      </c>
      <c r="J15" s="54">
        <v>11.25</v>
      </c>
      <c r="K15" s="55">
        <v>100</v>
      </c>
      <c r="L15" s="150"/>
      <c r="M15" s="75">
        <f t="shared" si="3"/>
        <v>13</v>
      </c>
      <c r="N15" s="54">
        <v>10.84</v>
      </c>
      <c r="O15" s="55">
        <v>15</v>
      </c>
      <c r="P15" s="150"/>
      <c r="Q15" s="75">
        <f t="shared" si="4"/>
        <v>13</v>
      </c>
      <c r="R15" s="54">
        <v>66.210000000000008</v>
      </c>
      <c r="S15" s="55">
        <v>750</v>
      </c>
      <c r="T15" s="150"/>
      <c r="U15" s="75">
        <f t="shared" si="5"/>
        <v>13</v>
      </c>
      <c r="V15" s="54">
        <v>28.19</v>
      </c>
      <c r="W15" s="55">
        <v>185</v>
      </c>
      <c r="X15" s="150"/>
      <c r="Y15" s="75">
        <f t="shared" si="6"/>
        <v>13</v>
      </c>
      <c r="Z15" s="54">
        <v>37.79</v>
      </c>
      <c r="AA15" s="55">
        <v>65</v>
      </c>
      <c r="AB15" s="150"/>
      <c r="AC15" s="75">
        <f t="shared" si="7"/>
        <v>13</v>
      </c>
      <c r="AD15" s="54">
        <v>41.05</v>
      </c>
      <c r="AE15" s="55">
        <v>185</v>
      </c>
      <c r="AF15" s="150"/>
      <c r="AG15" s="75">
        <f t="shared" si="8"/>
        <v>13</v>
      </c>
      <c r="AH15" s="54">
        <v>10.17</v>
      </c>
      <c r="AI15" s="55">
        <v>15</v>
      </c>
      <c r="AJ15" s="150"/>
      <c r="AK15" s="75">
        <f t="shared" si="9"/>
        <v>13</v>
      </c>
      <c r="AL15" s="54">
        <v>12</v>
      </c>
      <c r="AM15" s="55">
        <v>30</v>
      </c>
      <c r="AN15" s="150"/>
      <c r="AO15" s="75">
        <f t="shared" si="10"/>
        <v>13</v>
      </c>
      <c r="AP15" s="54">
        <v>14.02</v>
      </c>
      <c r="AQ15" s="55">
        <v>55</v>
      </c>
      <c r="AR15" s="150"/>
      <c r="AS15" s="75">
        <f t="shared" si="11"/>
        <v>13</v>
      </c>
      <c r="AT15" s="54">
        <v>10.3</v>
      </c>
      <c r="AU15" s="55">
        <v>50</v>
      </c>
      <c r="AV15" s="150"/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50"/>
      <c r="E16" s="75">
        <f t="shared" si="1"/>
        <v>14</v>
      </c>
      <c r="F16" s="54">
        <v>23</v>
      </c>
      <c r="G16" s="55">
        <v>120</v>
      </c>
      <c r="H16" s="150"/>
      <c r="I16" s="75">
        <f t="shared" si="2"/>
        <v>14</v>
      </c>
      <c r="J16" s="54">
        <v>40.69</v>
      </c>
      <c r="K16" s="55">
        <v>220</v>
      </c>
      <c r="L16" s="150"/>
      <c r="M16" s="75">
        <f t="shared" si="3"/>
        <v>14</v>
      </c>
      <c r="N16" s="54">
        <v>56.289999999999992</v>
      </c>
      <c r="O16" s="55">
        <v>839</v>
      </c>
      <c r="P16" s="150"/>
      <c r="Q16" s="75">
        <f t="shared" si="4"/>
        <v>14</v>
      </c>
      <c r="R16" s="54">
        <v>19.010000000000002</v>
      </c>
      <c r="S16" s="49">
        <v>110</v>
      </c>
      <c r="T16" s="150">
        <v>2.5694444444444447E-2</v>
      </c>
      <c r="U16" s="75">
        <f t="shared" si="5"/>
        <v>14</v>
      </c>
      <c r="V16" s="54">
        <v>10.33</v>
      </c>
      <c r="W16" s="55">
        <v>35</v>
      </c>
      <c r="X16" s="150"/>
      <c r="Y16" s="75">
        <f t="shared" si="6"/>
        <v>14</v>
      </c>
      <c r="Z16" s="54">
        <v>12</v>
      </c>
      <c r="AA16" s="55">
        <v>30</v>
      </c>
      <c r="AB16" s="150"/>
      <c r="AC16" s="75">
        <f t="shared" si="7"/>
        <v>14</v>
      </c>
      <c r="AD16" s="54">
        <v>11.79</v>
      </c>
      <c r="AE16" s="55">
        <v>20</v>
      </c>
      <c r="AF16" s="150"/>
      <c r="AG16" s="75">
        <f t="shared" si="8"/>
        <v>14</v>
      </c>
      <c r="AH16" s="54">
        <v>10.53</v>
      </c>
      <c r="AI16" s="55">
        <v>35</v>
      </c>
      <c r="AJ16" s="150"/>
      <c r="AK16" s="75">
        <f t="shared" si="9"/>
        <v>14</v>
      </c>
      <c r="AL16" s="54">
        <v>36.1</v>
      </c>
      <c r="AM16" s="55">
        <v>50</v>
      </c>
      <c r="AN16" s="150"/>
      <c r="AO16" s="75">
        <f t="shared" si="10"/>
        <v>14</v>
      </c>
      <c r="AP16" s="54">
        <v>7</v>
      </c>
      <c r="AQ16" s="55">
        <v>3</v>
      </c>
      <c r="AR16" s="150"/>
      <c r="AS16" s="75">
        <f t="shared" si="11"/>
        <v>14</v>
      </c>
      <c r="AT16" s="54"/>
      <c r="AU16" s="55"/>
      <c r="AV16" s="150"/>
      <c r="AW16" s="67"/>
    </row>
    <row r="17" spans="1:49" s="49" customFormat="1" ht="11.25" x14ac:dyDescent="0.2">
      <c r="A17" s="73">
        <f t="shared" si="0"/>
        <v>15</v>
      </c>
      <c r="B17" s="54">
        <v>10.8</v>
      </c>
      <c r="C17" s="55">
        <v>90</v>
      </c>
      <c r="D17" s="150"/>
      <c r="E17" s="75">
        <f t="shared" si="1"/>
        <v>15</v>
      </c>
      <c r="F17" s="54">
        <v>27.67</v>
      </c>
      <c r="G17" s="55">
        <v>263</v>
      </c>
      <c r="H17" s="150"/>
      <c r="I17" s="75">
        <f t="shared" si="2"/>
        <v>15</v>
      </c>
      <c r="J17" s="54">
        <v>5.09</v>
      </c>
      <c r="K17" s="55">
        <v>3</v>
      </c>
      <c r="L17" s="150"/>
      <c r="M17" s="75">
        <f t="shared" si="3"/>
        <v>15</v>
      </c>
      <c r="N17" s="54">
        <v>7</v>
      </c>
      <c r="O17" s="55">
        <v>10</v>
      </c>
      <c r="P17" s="150"/>
      <c r="Q17" s="75">
        <f t="shared" si="4"/>
        <v>15</v>
      </c>
      <c r="R17" s="54">
        <v>11.61</v>
      </c>
      <c r="S17" s="49">
        <v>40</v>
      </c>
      <c r="T17" s="150"/>
      <c r="U17" s="75">
        <f t="shared" si="5"/>
        <v>15</v>
      </c>
      <c r="V17" s="54">
        <v>10.31</v>
      </c>
      <c r="W17" s="55">
        <v>45</v>
      </c>
      <c r="X17" s="150"/>
      <c r="Y17" s="75">
        <f t="shared" si="6"/>
        <v>15</v>
      </c>
      <c r="Z17" s="54">
        <v>23.39</v>
      </c>
      <c r="AA17" s="55">
        <v>217</v>
      </c>
      <c r="AB17" s="150">
        <v>1.0416666666666666E-2</v>
      </c>
      <c r="AC17" s="75">
        <f t="shared" si="7"/>
        <v>15</v>
      </c>
      <c r="AD17" s="54">
        <v>53.08</v>
      </c>
      <c r="AE17" s="55">
        <v>580</v>
      </c>
      <c r="AF17" s="150"/>
      <c r="AG17" s="75">
        <f t="shared" si="8"/>
        <v>15</v>
      </c>
      <c r="AH17" s="54">
        <v>10</v>
      </c>
      <c r="AI17" s="55">
        <v>40</v>
      </c>
      <c r="AJ17" s="150"/>
      <c r="AK17" s="75">
        <f t="shared" si="9"/>
        <v>15</v>
      </c>
      <c r="AL17" s="54">
        <v>11</v>
      </c>
      <c r="AM17" s="55">
        <v>45</v>
      </c>
      <c r="AN17" s="150"/>
      <c r="AO17" s="75">
        <f t="shared" si="10"/>
        <v>15</v>
      </c>
      <c r="AP17" s="54">
        <v>11.6</v>
      </c>
      <c r="AQ17" s="55">
        <v>45</v>
      </c>
      <c r="AR17" s="150"/>
      <c r="AS17" s="75">
        <f t="shared" si="11"/>
        <v>15</v>
      </c>
      <c r="AT17" s="54">
        <v>10.16</v>
      </c>
      <c r="AU17" s="55">
        <v>45</v>
      </c>
      <c r="AV17" s="150"/>
      <c r="AW17" s="67"/>
    </row>
    <row r="18" spans="1:49" s="49" customFormat="1" ht="11.25" x14ac:dyDescent="0.2">
      <c r="A18" s="73">
        <f t="shared" si="0"/>
        <v>16</v>
      </c>
      <c r="B18" s="54">
        <v>11</v>
      </c>
      <c r="C18" s="55">
        <v>10</v>
      </c>
      <c r="D18" s="150"/>
      <c r="E18" s="75">
        <f t="shared" si="1"/>
        <v>16</v>
      </c>
      <c r="F18" s="54">
        <v>10.029999999999999</v>
      </c>
      <c r="G18" s="55">
        <v>75</v>
      </c>
      <c r="H18" s="150"/>
      <c r="I18" s="75">
        <f t="shared" si="2"/>
        <v>16</v>
      </c>
      <c r="J18" s="54">
        <v>11.4</v>
      </c>
      <c r="K18" s="55">
        <v>40</v>
      </c>
      <c r="L18" s="150"/>
      <c r="M18" s="75">
        <f t="shared" si="3"/>
        <v>16</v>
      </c>
      <c r="N18" s="54">
        <v>16</v>
      </c>
      <c r="O18" s="55">
        <v>40</v>
      </c>
      <c r="P18" s="150"/>
      <c r="Q18" s="75">
        <f t="shared" si="4"/>
        <v>16</v>
      </c>
      <c r="R18" s="54">
        <v>13.42</v>
      </c>
      <c r="S18" s="55">
        <v>29</v>
      </c>
      <c r="T18" s="150"/>
      <c r="U18" s="75">
        <f t="shared" si="5"/>
        <v>16</v>
      </c>
      <c r="V18" s="54">
        <v>20.149999999999999</v>
      </c>
      <c r="W18" s="55">
        <v>70</v>
      </c>
      <c r="X18" s="150"/>
      <c r="Y18" s="75">
        <f t="shared" si="6"/>
        <v>16</v>
      </c>
      <c r="Z18" s="54">
        <v>63.59</v>
      </c>
      <c r="AA18" s="55">
        <v>420</v>
      </c>
      <c r="AB18" s="150"/>
      <c r="AC18" s="75">
        <f t="shared" si="7"/>
        <v>16</v>
      </c>
      <c r="AD18" s="54">
        <v>13.24</v>
      </c>
      <c r="AE18" s="55">
        <v>195</v>
      </c>
      <c r="AF18" s="150"/>
      <c r="AG18" s="75">
        <f t="shared" si="8"/>
        <v>16</v>
      </c>
      <c r="AH18" s="54">
        <v>33.03</v>
      </c>
      <c r="AI18" s="55">
        <v>93</v>
      </c>
      <c r="AJ18" s="150"/>
      <c r="AK18" s="75">
        <f t="shared" si="9"/>
        <v>16</v>
      </c>
      <c r="AL18" s="54">
        <v>21.26</v>
      </c>
      <c r="AM18" s="55">
        <v>30</v>
      </c>
      <c r="AN18" s="150"/>
      <c r="AO18" s="75">
        <f t="shared" si="10"/>
        <v>16</v>
      </c>
      <c r="AP18" s="54">
        <v>10.18</v>
      </c>
      <c r="AQ18" s="55">
        <v>30</v>
      </c>
      <c r="AR18" s="150"/>
      <c r="AS18" s="75">
        <f t="shared" si="11"/>
        <v>16</v>
      </c>
      <c r="AT18" s="54">
        <v>16.309999999999999</v>
      </c>
      <c r="AU18" s="55">
        <v>70</v>
      </c>
      <c r="AV18" s="150">
        <v>1.0416666666666666E-2</v>
      </c>
      <c r="AW18" s="67"/>
    </row>
    <row r="19" spans="1:49" s="49" customFormat="1" ht="11.25" x14ac:dyDescent="0.2">
      <c r="A19" s="73">
        <f t="shared" si="0"/>
        <v>17</v>
      </c>
      <c r="B19" s="54">
        <v>10.050000000000001</v>
      </c>
      <c r="C19" s="55">
        <v>45</v>
      </c>
      <c r="D19" s="150"/>
      <c r="E19" s="75">
        <f t="shared" si="1"/>
        <v>17</v>
      </c>
      <c r="F19" s="54"/>
      <c r="G19" s="55"/>
      <c r="H19" s="150"/>
      <c r="I19" s="75">
        <f t="shared" si="2"/>
        <v>17</v>
      </c>
      <c r="J19" s="54">
        <v>10.93</v>
      </c>
      <c r="K19" s="55">
        <v>15</v>
      </c>
      <c r="L19" s="150"/>
      <c r="M19" s="75">
        <f t="shared" si="3"/>
        <v>17</v>
      </c>
      <c r="N19" s="54">
        <v>11.12</v>
      </c>
      <c r="O19" s="55">
        <v>6</v>
      </c>
      <c r="P19" s="150"/>
      <c r="Q19" s="75">
        <f t="shared" si="4"/>
        <v>17</v>
      </c>
      <c r="R19" s="54">
        <v>17.8</v>
      </c>
      <c r="S19" s="55">
        <v>367</v>
      </c>
      <c r="T19" s="150"/>
      <c r="U19" s="75">
        <f t="shared" si="5"/>
        <v>17</v>
      </c>
      <c r="V19" s="54">
        <v>14.64</v>
      </c>
      <c r="W19" s="55">
        <v>55</v>
      </c>
      <c r="X19" s="150"/>
      <c r="Y19" s="75">
        <f t="shared" si="6"/>
        <v>17</v>
      </c>
      <c r="Z19" s="54">
        <v>13.72</v>
      </c>
      <c r="AA19" s="55">
        <v>55</v>
      </c>
      <c r="AB19" s="150"/>
      <c r="AC19" s="75">
        <f t="shared" si="7"/>
        <v>17</v>
      </c>
      <c r="AD19" s="54">
        <v>14.5</v>
      </c>
      <c r="AE19" s="55">
        <v>65</v>
      </c>
      <c r="AF19" s="150"/>
      <c r="AG19" s="75">
        <f t="shared" si="8"/>
        <v>17</v>
      </c>
      <c r="AH19" s="54">
        <v>30.6</v>
      </c>
      <c r="AI19" s="55">
        <v>192</v>
      </c>
      <c r="AJ19" s="150">
        <v>1.0416666666666666E-2</v>
      </c>
      <c r="AK19" s="75">
        <f t="shared" si="9"/>
        <v>17</v>
      </c>
      <c r="AL19" s="54">
        <v>10.18</v>
      </c>
      <c r="AM19" s="55">
        <v>30</v>
      </c>
      <c r="AN19" s="150"/>
      <c r="AO19" s="75">
        <f t="shared" si="10"/>
        <v>17</v>
      </c>
      <c r="AP19" s="54">
        <v>16</v>
      </c>
      <c r="AQ19" s="55">
        <v>55</v>
      </c>
      <c r="AR19" s="150"/>
      <c r="AS19" s="75">
        <f t="shared" si="11"/>
        <v>17</v>
      </c>
      <c r="AT19" s="54">
        <v>22.41</v>
      </c>
      <c r="AU19" s="55">
        <v>98</v>
      </c>
      <c r="AV19" s="150"/>
      <c r="AW19" s="67"/>
    </row>
    <row r="20" spans="1:49" s="49" customFormat="1" ht="11.25" x14ac:dyDescent="0.2">
      <c r="A20" s="73">
        <f t="shared" si="0"/>
        <v>18</v>
      </c>
      <c r="B20" s="54">
        <v>10.1</v>
      </c>
      <c r="C20" s="55">
        <v>70</v>
      </c>
      <c r="D20" s="150"/>
      <c r="E20" s="75">
        <f t="shared" si="1"/>
        <v>18</v>
      </c>
      <c r="F20" s="54">
        <v>30.76</v>
      </c>
      <c r="G20" s="55">
        <v>28</v>
      </c>
      <c r="H20" s="150"/>
      <c r="I20" s="75">
        <f t="shared" si="2"/>
        <v>18</v>
      </c>
      <c r="J20" s="54">
        <v>10.25</v>
      </c>
      <c r="K20" s="55">
        <v>25</v>
      </c>
      <c r="L20" s="150">
        <v>1.7361111111111112E-2</v>
      </c>
      <c r="M20" s="75">
        <f t="shared" si="3"/>
        <v>18</v>
      </c>
      <c r="N20" s="54">
        <v>5</v>
      </c>
      <c r="O20" s="55">
        <v>3</v>
      </c>
      <c r="P20" s="150"/>
      <c r="Q20" s="75">
        <f t="shared" si="4"/>
        <v>18</v>
      </c>
      <c r="R20" s="54">
        <v>11.84</v>
      </c>
      <c r="S20" s="55">
        <v>18</v>
      </c>
      <c r="T20" s="150"/>
      <c r="U20" s="75">
        <f t="shared" si="5"/>
        <v>18</v>
      </c>
      <c r="V20" s="54">
        <v>39.5</v>
      </c>
      <c r="W20" s="55">
        <v>800</v>
      </c>
      <c r="X20" s="150"/>
      <c r="Y20" s="75">
        <f t="shared" si="6"/>
        <v>18</v>
      </c>
      <c r="Z20" s="54"/>
      <c r="AA20" s="55"/>
      <c r="AB20" s="150"/>
      <c r="AC20" s="75">
        <f t="shared" si="7"/>
        <v>18</v>
      </c>
      <c r="AD20" s="54">
        <v>15.68</v>
      </c>
      <c r="AE20" s="55">
        <v>40</v>
      </c>
      <c r="AF20" s="150"/>
      <c r="AG20" s="75">
        <f t="shared" si="8"/>
        <v>18</v>
      </c>
      <c r="AH20" s="54">
        <v>10.7</v>
      </c>
      <c r="AI20" s="55">
        <v>30</v>
      </c>
      <c r="AJ20" s="150"/>
      <c r="AK20" s="75">
        <f t="shared" si="9"/>
        <v>18</v>
      </c>
      <c r="AL20" s="54">
        <v>13.22</v>
      </c>
      <c r="AM20" s="55">
        <v>50</v>
      </c>
      <c r="AN20" s="150"/>
      <c r="AO20" s="75">
        <f t="shared" si="10"/>
        <v>18</v>
      </c>
      <c r="AP20" s="54">
        <v>61.3</v>
      </c>
      <c r="AQ20" s="55">
        <v>135</v>
      </c>
      <c r="AR20" s="150"/>
      <c r="AS20" s="75">
        <f t="shared" si="11"/>
        <v>18</v>
      </c>
      <c r="AT20" s="54">
        <v>10.01</v>
      </c>
      <c r="AU20" s="55">
        <v>20</v>
      </c>
      <c r="AV20" s="150"/>
      <c r="AW20" s="67"/>
    </row>
    <row r="21" spans="1:49" s="49" customFormat="1" ht="11.25" x14ac:dyDescent="0.2">
      <c r="A21" s="73">
        <f t="shared" si="0"/>
        <v>19</v>
      </c>
      <c r="B21" s="54">
        <v>11.08</v>
      </c>
      <c r="C21" s="55">
        <v>70</v>
      </c>
      <c r="D21" s="150"/>
      <c r="E21" s="75">
        <f t="shared" si="1"/>
        <v>19</v>
      </c>
      <c r="F21" s="54">
        <v>23.24</v>
      </c>
      <c r="G21" s="55">
        <v>93</v>
      </c>
      <c r="H21" s="150">
        <v>6.9444444444444434E-2</v>
      </c>
      <c r="I21" s="75">
        <f t="shared" si="2"/>
        <v>19</v>
      </c>
      <c r="J21" s="54">
        <v>50.08</v>
      </c>
      <c r="K21" s="55">
        <v>254</v>
      </c>
      <c r="L21" s="150"/>
      <c r="M21" s="75">
        <f t="shared" si="3"/>
        <v>19</v>
      </c>
      <c r="N21" s="54">
        <v>10.33</v>
      </c>
      <c r="O21" s="55">
        <v>18</v>
      </c>
      <c r="P21" s="150"/>
      <c r="Q21" s="75">
        <f t="shared" si="4"/>
        <v>19</v>
      </c>
      <c r="R21" s="54">
        <v>5.64</v>
      </c>
      <c r="S21" s="55">
        <v>3</v>
      </c>
      <c r="T21" s="150"/>
      <c r="U21" s="75">
        <f t="shared" si="5"/>
        <v>19</v>
      </c>
      <c r="V21" s="54">
        <v>62</v>
      </c>
      <c r="W21" s="55">
        <v>1180</v>
      </c>
      <c r="X21" s="150"/>
      <c r="Y21" s="75">
        <f t="shared" si="6"/>
        <v>19</v>
      </c>
      <c r="Z21" s="54">
        <v>11.11</v>
      </c>
      <c r="AA21" s="55">
        <v>20</v>
      </c>
      <c r="AB21" s="150"/>
      <c r="AC21" s="75">
        <f t="shared" si="7"/>
        <v>19</v>
      </c>
      <c r="AD21" s="54">
        <v>30.94</v>
      </c>
      <c r="AE21" s="55">
        <v>355</v>
      </c>
      <c r="AF21" s="150"/>
      <c r="AG21" s="75">
        <f t="shared" si="8"/>
        <v>19</v>
      </c>
      <c r="AH21" s="54">
        <v>10.92</v>
      </c>
      <c r="AI21" s="55">
        <v>40</v>
      </c>
      <c r="AJ21" s="150"/>
      <c r="AK21" s="75">
        <f t="shared" si="9"/>
        <v>19</v>
      </c>
      <c r="AL21" s="54">
        <v>18.32</v>
      </c>
      <c r="AM21" s="55">
        <v>45</v>
      </c>
      <c r="AN21" s="150"/>
      <c r="AO21" s="75">
        <f t="shared" si="10"/>
        <v>19</v>
      </c>
      <c r="AP21" s="54">
        <v>5</v>
      </c>
      <c r="AQ21" s="55">
        <v>3</v>
      </c>
      <c r="AR21" s="150"/>
      <c r="AS21" s="75">
        <f t="shared" si="11"/>
        <v>19</v>
      </c>
      <c r="AT21" s="54">
        <v>6.5</v>
      </c>
      <c r="AU21" s="55">
        <v>10</v>
      </c>
      <c r="AV21" s="150"/>
      <c r="AW21" s="67"/>
    </row>
    <row r="22" spans="1:49" s="49" customFormat="1" ht="11.25" x14ac:dyDescent="0.2">
      <c r="A22" s="73">
        <f t="shared" si="0"/>
        <v>20</v>
      </c>
      <c r="B22" s="54">
        <v>11.62</v>
      </c>
      <c r="C22" s="55">
        <v>80</v>
      </c>
      <c r="D22" s="150"/>
      <c r="E22" s="75">
        <f t="shared" si="1"/>
        <v>20</v>
      </c>
      <c r="F22" s="54">
        <v>11</v>
      </c>
      <c r="G22" s="55">
        <v>30</v>
      </c>
      <c r="H22" s="150"/>
      <c r="I22" s="75">
        <f t="shared" si="2"/>
        <v>20</v>
      </c>
      <c r="J22" s="54">
        <v>10.41</v>
      </c>
      <c r="K22" s="55">
        <v>10</v>
      </c>
      <c r="L22" s="150"/>
      <c r="M22" s="75">
        <f t="shared" si="3"/>
        <v>20</v>
      </c>
      <c r="N22" s="54">
        <v>17.14</v>
      </c>
      <c r="O22" s="55">
        <v>78</v>
      </c>
      <c r="P22" s="150"/>
      <c r="Q22" s="75">
        <f t="shared" si="4"/>
        <v>20</v>
      </c>
      <c r="R22" s="54">
        <v>40.92</v>
      </c>
      <c r="S22" s="55">
        <v>470</v>
      </c>
      <c r="T22" s="150"/>
      <c r="U22" s="75">
        <f t="shared" si="5"/>
        <v>20</v>
      </c>
      <c r="V22" s="54"/>
      <c r="W22" s="55"/>
      <c r="X22" s="150"/>
      <c r="Y22" s="75">
        <f t="shared" si="6"/>
        <v>20</v>
      </c>
      <c r="Z22" s="54">
        <v>16.829999999999998</v>
      </c>
      <c r="AA22" s="55">
        <v>105</v>
      </c>
      <c r="AB22" s="150"/>
      <c r="AC22" s="75">
        <f t="shared" si="7"/>
        <v>20</v>
      </c>
      <c r="AD22" s="54">
        <v>24.17</v>
      </c>
      <c r="AE22" s="55">
        <v>323</v>
      </c>
      <c r="AF22" s="150"/>
      <c r="AG22" s="75">
        <f t="shared" si="8"/>
        <v>20</v>
      </c>
      <c r="AH22" s="54">
        <v>13.87</v>
      </c>
      <c r="AI22" s="55">
        <v>40</v>
      </c>
      <c r="AJ22" s="150"/>
      <c r="AK22" s="75">
        <f t="shared" si="9"/>
        <v>20</v>
      </c>
      <c r="AL22" s="54">
        <v>15.1</v>
      </c>
      <c r="AM22" s="55">
        <v>9</v>
      </c>
      <c r="AN22" s="150"/>
      <c r="AO22" s="75">
        <f t="shared" si="10"/>
        <v>20</v>
      </c>
      <c r="AP22" s="54">
        <v>31.2</v>
      </c>
      <c r="AQ22" s="55">
        <v>170</v>
      </c>
      <c r="AR22" s="150"/>
      <c r="AS22" s="75">
        <f t="shared" si="11"/>
        <v>20</v>
      </c>
      <c r="AT22" s="54">
        <v>12.76</v>
      </c>
      <c r="AU22" s="55">
        <v>40</v>
      </c>
      <c r="AV22" s="150"/>
      <c r="AW22" s="67"/>
    </row>
    <row r="23" spans="1:49" s="49" customFormat="1" ht="11.25" x14ac:dyDescent="0.2">
      <c r="A23" s="73">
        <f t="shared" si="0"/>
        <v>21</v>
      </c>
      <c r="B23" s="54">
        <v>12.33</v>
      </c>
      <c r="C23" s="55">
        <v>310</v>
      </c>
      <c r="D23" s="150"/>
      <c r="E23" s="75">
        <f t="shared" si="1"/>
        <v>21</v>
      </c>
      <c r="F23" s="54"/>
      <c r="G23" s="55"/>
      <c r="H23" s="150"/>
      <c r="I23" s="75">
        <f t="shared" si="2"/>
        <v>21</v>
      </c>
      <c r="J23" s="54">
        <v>5</v>
      </c>
      <c r="K23" s="55">
        <v>3</v>
      </c>
      <c r="L23" s="150"/>
      <c r="M23" s="75">
        <f t="shared" si="3"/>
        <v>21</v>
      </c>
      <c r="N23" s="54">
        <v>28.14</v>
      </c>
      <c r="O23" s="55">
        <v>202</v>
      </c>
      <c r="P23" s="150"/>
      <c r="Q23" s="75">
        <f t="shared" si="4"/>
        <v>21</v>
      </c>
      <c r="R23" s="54">
        <v>53.070000000000007</v>
      </c>
      <c r="S23" s="55">
        <v>257</v>
      </c>
      <c r="T23" s="150"/>
      <c r="U23" s="75">
        <f t="shared" si="5"/>
        <v>21</v>
      </c>
      <c r="V23" s="54">
        <v>36.299999999999997</v>
      </c>
      <c r="W23" s="55">
        <v>592</v>
      </c>
      <c r="X23" s="150"/>
      <c r="Y23" s="75">
        <f t="shared" si="6"/>
        <v>21</v>
      </c>
      <c r="Z23" s="54">
        <v>18.329999999999998</v>
      </c>
      <c r="AA23" s="55">
        <v>73</v>
      </c>
      <c r="AB23" s="150">
        <v>2.7777777777777776E-2</v>
      </c>
      <c r="AC23" s="75">
        <f t="shared" si="7"/>
        <v>21</v>
      </c>
      <c r="AD23" s="54">
        <v>21.05</v>
      </c>
      <c r="AE23" s="55">
        <v>20</v>
      </c>
      <c r="AF23" s="150"/>
      <c r="AG23" s="75">
        <f t="shared" si="8"/>
        <v>21</v>
      </c>
      <c r="AH23" s="54">
        <v>15.63</v>
      </c>
      <c r="AI23" s="55">
        <v>165</v>
      </c>
      <c r="AJ23" s="150"/>
      <c r="AK23" s="75">
        <f t="shared" si="9"/>
        <v>21</v>
      </c>
      <c r="AL23" s="54">
        <v>60.62</v>
      </c>
      <c r="AM23" s="55">
        <v>385</v>
      </c>
      <c r="AN23" s="150"/>
      <c r="AO23" s="75">
        <f t="shared" si="10"/>
        <v>21</v>
      </c>
      <c r="AP23" s="54">
        <v>10.119999999999999</v>
      </c>
      <c r="AQ23" s="55">
        <v>10</v>
      </c>
      <c r="AR23" s="150"/>
      <c r="AS23" s="75">
        <f t="shared" si="11"/>
        <v>21</v>
      </c>
      <c r="AT23" s="54">
        <v>10.58</v>
      </c>
      <c r="AU23" s="55">
        <v>30</v>
      </c>
      <c r="AV23" s="150">
        <v>1.0416666666666666E-2</v>
      </c>
      <c r="AW23" s="67"/>
    </row>
    <row r="24" spans="1:49" s="49" customFormat="1" ht="11.25" x14ac:dyDescent="0.2">
      <c r="A24" s="73">
        <f t="shared" si="0"/>
        <v>22</v>
      </c>
      <c r="B24" s="54">
        <v>13.09</v>
      </c>
      <c r="C24" s="55">
        <v>350</v>
      </c>
      <c r="D24" s="150">
        <v>1.3888888888888888E-2</v>
      </c>
      <c r="E24" s="75">
        <f t="shared" si="1"/>
        <v>22</v>
      </c>
      <c r="F24" s="54">
        <v>10.1</v>
      </c>
      <c r="G24" s="55">
        <v>20</v>
      </c>
      <c r="H24" s="150"/>
      <c r="I24" s="75">
        <f t="shared" si="2"/>
        <v>22</v>
      </c>
      <c r="J24" s="54">
        <v>11.16</v>
      </c>
      <c r="K24" s="55">
        <v>30</v>
      </c>
      <c r="L24" s="150"/>
      <c r="M24" s="75">
        <f t="shared" si="3"/>
        <v>22</v>
      </c>
      <c r="N24" s="49">
        <v>20.13</v>
      </c>
      <c r="O24" s="49">
        <v>30</v>
      </c>
      <c r="P24" s="150">
        <v>1.0416666666666666E-2</v>
      </c>
      <c r="Q24" s="75">
        <f t="shared" si="4"/>
        <v>22</v>
      </c>
      <c r="R24" s="54">
        <v>13.44</v>
      </c>
      <c r="S24" s="49">
        <v>30</v>
      </c>
      <c r="T24" s="150"/>
      <c r="U24" s="75">
        <f t="shared" si="5"/>
        <v>22</v>
      </c>
      <c r="V24" s="54">
        <v>13.5</v>
      </c>
      <c r="W24" s="55">
        <v>300</v>
      </c>
      <c r="X24" s="150"/>
      <c r="Y24" s="75">
        <f t="shared" si="6"/>
        <v>22</v>
      </c>
      <c r="Z24" s="54">
        <v>22.53</v>
      </c>
      <c r="AA24" s="55">
        <v>118</v>
      </c>
      <c r="AB24" s="150">
        <v>2.0833333333333332E-2</v>
      </c>
      <c r="AC24" s="75">
        <f t="shared" si="7"/>
        <v>22</v>
      </c>
      <c r="AD24" s="54">
        <v>13.950000000000001</v>
      </c>
      <c r="AE24" s="55">
        <v>27</v>
      </c>
      <c r="AF24" s="150"/>
      <c r="AG24" s="75">
        <f t="shared" si="8"/>
        <v>22</v>
      </c>
      <c r="AH24" s="54">
        <v>17.8</v>
      </c>
      <c r="AI24" s="55">
        <v>85</v>
      </c>
      <c r="AJ24" s="150"/>
      <c r="AK24" s="75">
        <f t="shared" si="9"/>
        <v>22</v>
      </c>
      <c r="AL24" s="54">
        <v>25.68</v>
      </c>
      <c r="AM24" s="55">
        <v>15</v>
      </c>
      <c r="AN24" s="150"/>
      <c r="AO24" s="75">
        <f t="shared" si="10"/>
        <v>22</v>
      </c>
      <c r="AP24" s="54">
        <v>10.6</v>
      </c>
      <c r="AQ24" s="55">
        <v>30</v>
      </c>
      <c r="AR24" s="150"/>
      <c r="AS24" s="75">
        <f t="shared" si="11"/>
        <v>22</v>
      </c>
      <c r="AT24" s="54">
        <v>10.199999999999999</v>
      </c>
      <c r="AU24" s="55">
        <v>30</v>
      </c>
      <c r="AV24" s="150"/>
      <c r="AW24" s="67"/>
    </row>
    <row r="25" spans="1:49" s="49" customFormat="1" ht="11.25" x14ac:dyDescent="0.2">
      <c r="A25" s="73">
        <f t="shared" si="0"/>
        <v>23</v>
      </c>
      <c r="B25" s="54">
        <v>12.5</v>
      </c>
      <c r="C25" s="55">
        <v>40</v>
      </c>
      <c r="D25" s="150"/>
      <c r="E25" s="75">
        <f t="shared" si="1"/>
        <v>23</v>
      </c>
      <c r="F25" s="54">
        <v>22.05</v>
      </c>
      <c r="G25" s="55">
        <v>130</v>
      </c>
      <c r="H25" s="150"/>
      <c r="I25" s="75">
        <f t="shared" si="2"/>
        <v>23</v>
      </c>
      <c r="J25" s="54">
        <v>12.07</v>
      </c>
      <c r="K25" s="55">
        <v>50</v>
      </c>
      <c r="L25" s="150"/>
      <c r="M25" s="75">
        <f t="shared" si="3"/>
        <v>23</v>
      </c>
      <c r="N25" s="54">
        <v>50.41</v>
      </c>
      <c r="O25" s="55">
        <v>140</v>
      </c>
      <c r="P25" s="150"/>
      <c r="Q25" s="75">
        <f t="shared" si="4"/>
        <v>23</v>
      </c>
      <c r="R25" s="54">
        <v>10.64</v>
      </c>
      <c r="S25" s="55">
        <v>25</v>
      </c>
      <c r="T25" s="150"/>
      <c r="U25" s="75">
        <f t="shared" si="5"/>
        <v>23</v>
      </c>
      <c r="V25" s="54">
        <v>45</v>
      </c>
      <c r="W25" s="55">
        <v>600</v>
      </c>
      <c r="X25" s="150"/>
      <c r="Y25" s="75">
        <f t="shared" si="6"/>
        <v>23</v>
      </c>
      <c r="Z25" s="54">
        <v>32.200000000000003</v>
      </c>
      <c r="AA25" s="55">
        <v>272</v>
      </c>
      <c r="AB25" s="150"/>
      <c r="AC25" s="75">
        <f t="shared" si="7"/>
        <v>23</v>
      </c>
      <c r="AD25" s="54">
        <v>11.5</v>
      </c>
      <c r="AE25" s="55">
        <v>68</v>
      </c>
      <c r="AF25" s="150"/>
      <c r="AG25" s="75">
        <f t="shared" si="8"/>
        <v>23</v>
      </c>
      <c r="AH25" s="54">
        <v>39</v>
      </c>
      <c r="AI25" s="55">
        <v>432</v>
      </c>
      <c r="AJ25" s="150"/>
      <c r="AK25" s="75">
        <f t="shared" si="9"/>
        <v>23</v>
      </c>
      <c r="AL25" s="54">
        <v>41.75</v>
      </c>
      <c r="AM25" s="55">
        <v>80</v>
      </c>
      <c r="AN25" s="150"/>
      <c r="AO25" s="75">
        <f t="shared" si="10"/>
        <v>23</v>
      </c>
      <c r="AP25" s="54">
        <v>17.41</v>
      </c>
      <c r="AQ25" s="55">
        <v>125</v>
      </c>
      <c r="AR25" s="150"/>
      <c r="AS25" s="75">
        <f t="shared" si="11"/>
        <v>23</v>
      </c>
      <c r="AT25" s="54">
        <v>20.399999999999999</v>
      </c>
      <c r="AU25" s="55">
        <v>142</v>
      </c>
      <c r="AV25" s="150">
        <v>1.5277777777777777E-2</v>
      </c>
      <c r="AW25" s="67"/>
    </row>
    <row r="26" spans="1:49" s="49" customFormat="1" ht="11.25" x14ac:dyDescent="0.2">
      <c r="A26" s="73">
        <f t="shared" si="0"/>
        <v>24</v>
      </c>
      <c r="B26" s="54">
        <v>10.31</v>
      </c>
      <c r="C26" s="55">
        <v>50</v>
      </c>
      <c r="D26" s="150"/>
      <c r="E26" s="75">
        <f t="shared" si="1"/>
        <v>24</v>
      </c>
      <c r="F26" s="54">
        <v>28.34</v>
      </c>
      <c r="G26" s="55">
        <v>216</v>
      </c>
      <c r="H26" s="150"/>
      <c r="I26" s="75">
        <f t="shared" si="2"/>
        <v>24</v>
      </c>
      <c r="J26" s="54">
        <v>10.25</v>
      </c>
      <c r="K26" s="55">
        <v>6</v>
      </c>
      <c r="L26" s="150"/>
      <c r="M26" s="75">
        <f t="shared" si="3"/>
        <v>24</v>
      </c>
      <c r="N26" s="54">
        <v>14.219999999999999</v>
      </c>
      <c r="O26" s="55">
        <v>90</v>
      </c>
      <c r="P26" s="150"/>
      <c r="Q26" s="75">
        <f t="shared" si="4"/>
        <v>24</v>
      </c>
      <c r="R26" s="54">
        <v>13.58</v>
      </c>
      <c r="S26" s="55">
        <v>33</v>
      </c>
      <c r="T26" s="150">
        <v>4.8611111111111112E-3</v>
      </c>
      <c r="U26" s="75">
        <f t="shared" si="5"/>
        <v>24</v>
      </c>
      <c r="V26" s="54"/>
      <c r="W26" s="55"/>
      <c r="X26" s="150"/>
      <c r="Y26" s="75">
        <f t="shared" si="6"/>
        <v>24</v>
      </c>
      <c r="Z26" s="54">
        <v>10.11</v>
      </c>
      <c r="AA26" s="55">
        <v>40</v>
      </c>
      <c r="AB26" s="150"/>
      <c r="AC26" s="75">
        <f t="shared" si="7"/>
        <v>24</v>
      </c>
      <c r="AD26" s="54"/>
      <c r="AE26" s="55"/>
      <c r="AF26" s="150"/>
      <c r="AG26" s="75">
        <f t="shared" si="8"/>
        <v>24</v>
      </c>
      <c r="AH26" s="54">
        <v>52.169999999999995</v>
      </c>
      <c r="AI26" s="55">
        <v>437</v>
      </c>
      <c r="AJ26" s="150"/>
      <c r="AK26" s="75">
        <f t="shared" si="9"/>
        <v>24</v>
      </c>
      <c r="AL26" s="54">
        <v>10</v>
      </c>
      <c r="AM26" s="55">
        <v>30</v>
      </c>
      <c r="AN26" s="150"/>
      <c r="AO26" s="75">
        <f t="shared" si="10"/>
        <v>24</v>
      </c>
      <c r="AP26" s="54">
        <v>13.38</v>
      </c>
      <c r="AQ26" s="55">
        <v>30</v>
      </c>
      <c r="AR26" s="150"/>
      <c r="AS26" s="75">
        <f t="shared" si="11"/>
        <v>24</v>
      </c>
      <c r="AT26" s="54">
        <v>20.100000000000001</v>
      </c>
      <c r="AU26" s="55">
        <v>750</v>
      </c>
      <c r="AV26" s="150">
        <v>4.1666666666666664E-2</v>
      </c>
      <c r="AW26" s="67"/>
    </row>
    <row r="27" spans="1:49" s="49" customFormat="1" ht="11.25" x14ac:dyDescent="0.2">
      <c r="A27" s="73">
        <f t="shared" si="0"/>
        <v>25</v>
      </c>
      <c r="B27" s="54">
        <v>10.27</v>
      </c>
      <c r="C27" s="55">
        <v>50</v>
      </c>
      <c r="D27" s="150"/>
      <c r="E27" s="75">
        <f t="shared" si="1"/>
        <v>25</v>
      </c>
      <c r="F27" s="54">
        <v>55.65</v>
      </c>
      <c r="G27" s="55">
        <v>593</v>
      </c>
      <c r="H27" s="150"/>
      <c r="I27" s="75">
        <f t="shared" si="2"/>
        <v>25</v>
      </c>
      <c r="J27" s="54">
        <v>84.039999999999992</v>
      </c>
      <c r="K27" s="55">
        <v>1965</v>
      </c>
      <c r="L27" s="150"/>
      <c r="M27" s="75">
        <f t="shared" si="3"/>
        <v>25</v>
      </c>
      <c r="N27" s="54"/>
      <c r="O27" s="55"/>
      <c r="P27" s="150"/>
      <c r="Q27" s="75">
        <f t="shared" si="4"/>
        <v>25</v>
      </c>
      <c r="R27" s="54">
        <v>64.2</v>
      </c>
      <c r="S27" s="55">
        <v>820</v>
      </c>
      <c r="T27" s="150"/>
      <c r="U27" s="75">
        <f t="shared" si="5"/>
        <v>25</v>
      </c>
      <c r="V27" s="54"/>
      <c r="W27" s="55"/>
      <c r="X27" s="150"/>
      <c r="Y27" s="75">
        <f t="shared" si="6"/>
        <v>25</v>
      </c>
      <c r="Z27" s="54">
        <v>5.17</v>
      </c>
      <c r="AA27" s="55">
        <v>3</v>
      </c>
      <c r="AB27" s="150"/>
      <c r="AC27" s="75">
        <f t="shared" si="7"/>
        <v>25</v>
      </c>
      <c r="AD27" s="54">
        <v>22.900000000000002</v>
      </c>
      <c r="AE27" s="55">
        <v>70</v>
      </c>
      <c r="AF27" s="150"/>
      <c r="AG27" s="75">
        <f t="shared" si="8"/>
        <v>25</v>
      </c>
      <c r="AH27" s="54">
        <v>13.3</v>
      </c>
      <c r="AI27" s="55">
        <v>10</v>
      </c>
      <c r="AJ27" s="150"/>
      <c r="AK27" s="75">
        <f t="shared" si="9"/>
        <v>25</v>
      </c>
      <c r="AL27" s="54">
        <v>16.73</v>
      </c>
      <c r="AM27" s="55">
        <v>20</v>
      </c>
      <c r="AN27" s="150"/>
      <c r="AO27" s="75">
        <f t="shared" si="10"/>
        <v>25</v>
      </c>
      <c r="AP27" s="54">
        <v>5.13</v>
      </c>
      <c r="AQ27" s="55">
        <v>3</v>
      </c>
      <c r="AR27" s="150"/>
      <c r="AS27" s="75">
        <f t="shared" si="11"/>
        <v>25</v>
      </c>
      <c r="AT27" s="54">
        <v>2</v>
      </c>
      <c r="AU27" s="55">
        <v>3</v>
      </c>
      <c r="AV27" s="150"/>
      <c r="AW27" s="67"/>
    </row>
    <row r="28" spans="1:49" s="49" customFormat="1" ht="11.25" x14ac:dyDescent="0.2">
      <c r="A28" s="73">
        <f t="shared" si="0"/>
        <v>26</v>
      </c>
      <c r="B28" s="54">
        <v>11.43</v>
      </c>
      <c r="C28" s="55">
        <v>10</v>
      </c>
      <c r="D28" s="150"/>
      <c r="E28" s="75">
        <f t="shared" si="1"/>
        <v>26</v>
      </c>
      <c r="F28" s="54">
        <v>51.27</v>
      </c>
      <c r="G28" s="55">
        <v>474</v>
      </c>
      <c r="H28" s="150"/>
      <c r="I28" s="75">
        <f t="shared" si="2"/>
        <v>26</v>
      </c>
      <c r="J28" s="54">
        <v>19.760000000000002</v>
      </c>
      <c r="K28" s="55">
        <v>125</v>
      </c>
      <c r="L28" s="150"/>
      <c r="M28" s="75">
        <f t="shared" si="3"/>
        <v>26</v>
      </c>
      <c r="N28" s="54">
        <v>16.16</v>
      </c>
      <c r="O28" s="55">
        <v>45</v>
      </c>
      <c r="P28" s="150"/>
      <c r="Q28" s="75">
        <f t="shared" si="4"/>
        <v>26</v>
      </c>
      <c r="R28" s="54">
        <v>24.4</v>
      </c>
      <c r="S28" s="55">
        <v>530</v>
      </c>
      <c r="T28" s="150"/>
      <c r="U28" s="75">
        <f t="shared" si="5"/>
        <v>26</v>
      </c>
      <c r="V28" s="54">
        <v>32</v>
      </c>
      <c r="W28" s="55">
        <v>1530</v>
      </c>
      <c r="X28" s="150"/>
      <c r="Y28" s="75">
        <f t="shared" si="6"/>
        <v>26</v>
      </c>
      <c r="Z28" s="54">
        <v>12.61</v>
      </c>
      <c r="AA28" s="55">
        <v>50</v>
      </c>
      <c r="AB28" s="150"/>
      <c r="AC28" s="75">
        <f t="shared" si="7"/>
        <v>26</v>
      </c>
      <c r="AD28" s="54">
        <v>38.1</v>
      </c>
      <c r="AE28" s="55">
        <v>265</v>
      </c>
      <c r="AF28" s="150"/>
      <c r="AG28" s="75">
        <f t="shared" si="8"/>
        <v>26</v>
      </c>
      <c r="AH28" s="54">
        <v>10.07</v>
      </c>
      <c r="AI28" s="55">
        <v>30</v>
      </c>
      <c r="AJ28" s="150"/>
      <c r="AK28" s="75">
        <f t="shared" si="9"/>
        <v>26</v>
      </c>
      <c r="AL28" s="54">
        <v>15</v>
      </c>
      <c r="AM28" s="55">
        <v>30</v>
      </c>
      <c r="AN28" s="150"/>
      <c r="AO28" s="75">
        <f t="shared" si="10"/>
        <v>26</v>
      </c>
      <c r="AP28" s="54">
        <v>10.66</v>
      </c>
      <c r="AQ28" s="55">
        <v>90</v>
      </c>
      <c r="AR28" s="150">
        <v>1.0416666666666666E-2</v>
      </c>
      <c r="AS28" s="75">
        <f t="shared" si="11"/>
        <v>26</v>
      </c>
      <c r="AT28" s="54">
        <v>10.029999999999999</v>
      </c>
      <c r="AU28" s="55">
        <v>60</v>
      </c>
      <c r="AV28" s="150">
        <v>1.0416666666666666E-2</v>
      </c>
      <c r="AW28" s="67"/>
    </row>
    <row r="29" spans="1:49" s="49" customFormat="1" ht="11.25" x14ac:dyDescent="0.2">
      <c r="A29" s="73">
        <f t="shared" si="0"/>
        <v>27</v>
      </c>
      <c r="B29" s="54">
        <v>10.199999999999999</v>
      </c>
      <c r="C29" s="55">
        <v>10</v>
      </c>
      <c r="D29" s="150"/>
      <c r="E29" s="75">
        <f t="shared" si="1"/>
        <v>27</v>
      </c>
      <c r="F29" s="54">
        <v>14.52</v>
      </c>
      <c r="G29" s="55">
        <v>282</v>
      </c>
      <c r="H29" s="150"/>
      <c r="I29" s="75">
        <f t="shared" si="2"/>
        <v>27</v>
      </c>
      <c r="J29" s="54">
        <v>10.33</v>
      </c>
      <c r="K29" s="55">
        <v>15</v>
      </c>
      <c r="L29" s="150"/>
      <c r="M29" s="75">
        <f t="shared" si="3"/>
        <v>27</v>
      </c>
      <c r="N29" s="54">
        <v>16.95</v>
      </c>
      <c r="O29" s="55">
        <v>45</v>
      </c>
      <c r="P29" s="150"/>
      <c r="Q29" s="75">
        <f t="shared" si="4"/>
        <v>27</v>
      </c>
      <c r="R29" s="54">
        <v>53.2</v>
      </c>
      <c r="S29" s="55">
        <v>1130</v>
      </c>
      <c r="T29" s="150"/>
      <c r="U29" s="75">
        <f t="shared" si="5"/>
        <v>27</v>
      </c>
      <c r="V29" s="54"/>
      <c r="W29" s="55"/>
      <c r="X29" s="150"/>
      <c r="Y29" s="75">
        <f t="shared" si="6"/>
        <v>27</v>
      </c>
      <c r="Z29" s="54">
        <v>14.219999999999999</v>
      </c>
      <c r="AA29" s="55">
        <v>90</v>
      </c>
      <c r="AB29" s="150"/>
      <c r="AC29" s="75">
        <f t="shared" si="7"/>
        <v>27</v>
      </c>
      <c r="AD29" s="54">
        <v>81.490000000000009</v>
      </c>
      <c r="AE29" s="55">
        <v>1265</v>
      </c>
      <c r="AF29" s="150"/>
      <c r="AG29" s="75">
        <f t="shared" si="8"/>
        <v>27</v>
      </c>
      <c r="AH29" s="54">
        <v>13.1</v>
      </c>
      <c r="AI29" s="55">
        <v>10</v>
      </c>
      <c r="AJ29" s="150"/>
      <c r="AK29" s="75">
        <f t="shared" si="9"/>
        <v>27</v>
      </c>
      <c r="AL29" s="54">
        <v>18.61</v>
      </c>
      <c r="AM29" s="55">
        <v>414</v>
      </c>
      <c r="AN29" s="150"/>
      <c r="AO29" s="75">
        <f t="shared" si="10"/>
        <v>27</v>
      </c>
      <c r="AP29" s="54">
        <v>10.02</v>
      </c>
      <c r="AQ29" s="55">
        <v>45</v>
      </c>
      <c r="AR29" s="150">
        <v>1.0416666666666666E-2</v>
      </c>
      <c r="AS29" s="75">
        <f t="shared" si="11"/>
        <v>27</v>
      </c>
      <c r="AT29" s="54"/>
      <c r="AU29" s="55"/>
      <c r="AV29" s="150">
        <v>1.0416666666666666E-2</v>
      </c>
      <c r="AW29" s="67"/>
    </row>
    <row r="30" spans="1:49" s="49" customFormat="1" ht="11.25" x14ac:dyDescent="0.2">
      <c r="A30" s="73">
        <f t="shared" si="0"/>
        <v>28</v>
      </c>
      <c r="B30" s="54">
        <v>10.98</v>
      </c>
      <c r="C30" s="55">
        <v>310</v>
      </c>
      <c r="D30" s="150">
        <v>1.3888888888888888E-2</v>
      </c>
      <c r="E30" s="75">
        <f t="shared" si="1"/>
        <v>28</v>
      </c>
      <c r="F30" s="54"/>
      <c r="G30" s="55"/>
      <c r="H30" s="150"/>
      <c r="I30" s="75">
        <f t="shared" si="2"/>
        <v>28</v>
      </c>
      <c r="J30" s="54">
        <v>13.75</v>
      </c>
      <c r="K30" s="55">
        <v>140</v>
      </c>
      <c r="L30" s="150"/>
      <c r="M30" s="75">
        <f t="shared" si="3"/>
        <v>28</v>
      </c>
      <c r="N30" s="54"/>
      <c r="O30" s="55"/>
      <c r="P30" s="150"/>
      <c r="Q30" s="75">
        <f t="shared" si="4"/>
        <v>28</v>
      </c>
      <c r="R30" s="54">
        <v>28.21</v>
      </c>
      <c r="S30" s="55">
        <v>176</v>
      </c>
      <c r="T30" s="150"/>
      <c r="U30" s="75">
        <f t="shared" si="5"/>
        <v>28</v>
      </c>
      <c r="V30" s="54"/>
      <c r="W30" s="55"/>
      <c r="X30" s="150"/>
      <c r="Y30" s="75">
        <f t="shared" si="6"/>
        <v>28</v>
      </c>
      <c r="Z30" s="54">
        <v>5.16</v>
      </c>
      <c r="AA30" s="55">
        <v>3</v>
      </c>
      <c r="AB30" s="150"/>
      <c r="AC30" s="75">
        <f t="shared" si="7"/>
        <v>28</v>
      </c>
      <c r="AD30" s="54">
        <v>11</v>
      </c>
      <c r="AE30" s="55">
        <v>25</v>
      </c>
      <c r="AF30" s="150"/>
      <c r="AG30" s="75">
        <f t="shared" si="8"/>
        <v>28</v>
      </c>
      <c r="AH30" s="54">
        <v>13.5</v>
      </c>
      <c r="AI30" s="55">
        <v>55</v>
      </c>
      <c r="AJ30" s="150"/>
      <c r="AK30" s="75">
        <f t="shared" si="9"/>
        <v>28</v>
      </c>
      <c r="AL30" s="54">
        <v>24.95</v>
      </c>
      <c r="AM30" s="55">
        <v>50</v>
      </c>
      <c r="AN30" s="150"/>
      <c r="AO30" s="75">
        <f t="shared" si="10"/>
        <v>28</v>
      </c>
      <c r="AP30" s="54"/>
      <c r="AQ30" s="55"/>
      <c r="AR30" s="150"/>
      <c r="AS30" s="75">
        <f t="shared" si="11"/>
        <v>28</v>
      </c>
      <c r="AT30" s="54"/>
      <c r="AU30" s="55"/>
      <c r="AV30" s="150">
        <v>1.1805555555555555E-2</v>
      </c>
      <c r="AW30" s="67"/>
    </row>
    <row r="31" spans="1:49" s="49" customFormat="1" ht="11.25" x14ac:dyDescent="0.2">
      <c r="A31" s="73">
        <f t="shared" si="0"/>
        <v>29</v>
      </c>
      <c r="B31" s="54">
        <v>13.91</v>
      </c>
      <c r="C31" s="55">
        <v>45</v>
      </c>
      <c r="D31" s="150"/>
      <c r="E31" s="75"/>
      <c r="F31" s="54"/>
      <c r="G31" s="55"/>
      <c r="H31" s="150"/>
      <c r="I31" s="75">
        <f t="shared" si="2"/>
        <v>29</v>
      </c>
      <c r="J31" s="54">
        <v>13.75</v>
      </c>
      <c r="K31" s="55">
        <v>140</v>
      </c>
      <c r="L31" s="150"/>
      <c r="M31" s="75">
        <f t="shared" si="3"/>
        <v>29</v>
      </c>
      <c r="N31" s="54">
        <v>41.070000000000007</v>
      </c>
      <c r="O31" s="55">
        <v>368</v>
      </c>
      <c r="P31" s="150"/>
      <c r="Q31" s="75">
        <f t="shared" si="4"/>
        <v>29</v>
      </c>
      <c r="R31" s="54">
        <v>16.43</v>
      </c>
      <c r="S31" s="55">
        <v>10</v>
      </c>
      <c r="T31" s="150"/>
      <c r="U31" s="75">
        <f t="shared" si="5"/>
        <v>29</v>
      </c>
      <c r="V31" s="54">
        <v>16</v>
      </c>
      <c r="W31" s="55">
        <v>550</v>
      </c>
      <c r="X31" s="150"/>
      <c r="Y31" s="75">
        <f t="shared" si="6"/>
        <v>29</v>
      </c>
      <c r="Z31" s="54">
        <v>29</v>
      </c>
      <c r="AA31" s="55">
        <v>265</v>
      </c>
      <c r="AB31" s="150"/>
      <c r="AC31" s="75">
        <f t="shared" si="7"/>
        <v>29</v>
      </c>
      <c r="AD31" s="54">
        <v>21.3</v>
      </c>
      <c r="AE31" s="55">
        <v>150</v>
      </c>
      <c r="AF31" s="150"/>
      <c r="AG31" s="75">
        <f t="shared" si="8"/>
        <v>29</v>
      </c>
      <c r="AH31" s="54">
        <v>14.81</v>
      </c>
      <c r="AI31" s="55">
        <v>340</v>
      </c>
      <c r="AJ31" s="150"/>
      <c r="AK31" s="75">
        <f t="shared" si="9"/>
        <v>29</v>
      </c>
      <c r="AL31" s="54">
        <v>16.190000000000001</v>
      </c>
      <c r="AM31" s="55">
        <v>40</v>
      </c>
      <c r="AN31" s="150"/>
      <c r="AO31" s="75">
        <f t="shared" si="10"/>
        <v>29</v>
      </c>
      <c r="AP31" s="54">
        <v>11.16</v>
      </c>
      <c r="AQ31" s="55">
        <v>60</v>
      </c>
      <c r="AR31" s="150"/>
      <c r="AS31" s="75">
        <f t="shared" si="11"/>
        <v>29</v>
      </c>
      <c r="AT31" s="54">
        <v>11.12</v>
      </c>
      <c r="AU31" s="55">
        <v>65</v>
      </c>
      <c r="AV31" s="150"/>
      <c r="AW31" s="67"/>
    </row>
    <row r="32" spans="1:49" s="49" customFormat="1" ht="11.25" x14ac:dyDescent="0.2">
      <c r="A32" s="73">
        <f t="shared" si="0"/>
        <v>30</v>
      </c>
      <c r="B32" s="54">
        <v>5</v>
      </c>
      <c r="C32" s="55">
        <v>3</v>
      </c>
      <c r="D32" s="150"/>
      <c r="E32" s="75"/>
      <c r="F32" s="54"/>
      <c r="G32" s="55"/>
      <c r="H32" s="150"/>
      <c r="I32" s="75">
        <f t="shared" si="2"/>
        <v>30</v>
      </c>
      <c r="J32" s="54">
        <v>13.38</v>
      </c>
      <c r="K32" s="55">
        <v>30</v>
      </c>
      <c r="L32" s="150"/>
      <c r="M32" s="75">
        <f t="shared" si="3"/>
        <v>30</v>
      </c>
      <c r="N32" s="54">
        <v>43.6</v>
      </c>
      <c r="O32" s="55">
        <v>1084</v>
      </c>
      <c r="P32" s="150"/>
      <c r="Q32" s="75">
        <f t="shared" si="4"/>
        <v>30</v>
      </c>
      <c r="R32" s="54">
        <v>8.3000000000000007</v>
      </c>
      <c r="S32" s="55">
        <v>10</v>
      </c>
      <c r="T32" s="150"/>
      <c r="U32" s="75">
        <f t="shared" si="5"/>
        <v>30</v>
      </c>
      <c r="V32" s="54">
        <v>45</v>
      </c>
      <c r="W32" s="55">
        <v>1450</v>
      </c>
      <c r="X32" s="150"/>
      <c r="Y32" s="75">
        <f t="shared" si="6"/>
        <v>30</v>
      </c>
      <c r="Z32" s="54">
        <v>80</v>
      </c>
      <c r="AA32" s="55">
        <v>447</v>
      </c>
      <c r="AB32" s="150"/>
      <c r="AC32" s="75">
        <f t="shared" si="7"/>
        <v>30</v>
      </c>
      <c r="AD32" s="54">
        <v>22.48</v>
      </c>
      <c r="AE32" s="55">
        <v>80</v>
      </c>
      <c r="AF32" s="150"/>
      <c r="AG32" s="75">
        <f t="shared" si="8"/>
        <v>30</v>
      </c>
      <c r="AH32" s="54">
        <v>36.309999999999995</v>
      </c>
      <c r="AI32" s="55">
        <v>755</v>
      </c>
      <c r="AJ32" s="150"/>
      <c r="AK32" s="75">
        <f t="shared" si="9"/>
        <v>30</v>
      </c>
      <c r="AL32" s="54">
        <v>13.5</v>
      </c>
      <c r="AM32" s="55">
        <v>40</v>
      </c>
      <c r="AN32" s="150"/>
      <c r="AO32" s="75">
        <f t="shared" si="10"/>
        <v>30</v>
      </c>
      <c r="AP32" s="54">
        <v>10.1</v>
      </c>
      <c r="AQ32" s="55">
        <v>30</v>
      </c>
      <c r="AR32" s="150"/>
      <c r="AS32" s="75">
        <f t="shared" si="11"/>
        <v>30</v>
      </c>
      <c r="AT32" s="54">
        <v>27.72</v>
      </c>
      <c r="AU32" s="55">
        <v>90</v>
      </c>
      <c r="AV32" s="150">
        <v>1.0416666666666666E-2</v>
      </c>
      <c r="AW32" s="67"/>
    </row>
    <row r="33" spans="1:49" s="49" customFormat="1" ht="11.25" x14ac:dyDescent="0.2">
      <c r="A33" s="74">
        <f t="shared" si="0"/>
        <v>31</v>
      </c>
      <c r="B33" s="62">
        <v>10.26</v>
      </c>
      <c r="C33" s="63">
        <v>15</v>
      </c>
      <c r="D33" s="151"/>
      <c r="E33" s="76"/>
      <c r="F33" s="62"/>
      <c r="G33" s="63"/>
      <c r="H33" s="151"/>
      <c r="I33" s="76">
        <f t="shared" si="2"/>
        <v>31</v>
      </c>
      <c r="J33" s="62">
        <v>15.899999999999999</v>
      </c>
      <c r="K33" s="63">
        <v>195</v>
      </c>
      <c r="L33" s="151"/>
      <c r="M33" s="76"/>
      <c r="N33" s="62"/>
      <c r="O33" s="63"/>
      <c r="P33" s="151"/>
      <c r="Q33" s="76">
        <f t="shared" si="4"/>
        <v>31</v>
      </c>
      <c r="R33" s="62">
        <v>18.41</v>
      </c>
      <c r="S33" s="63">
        <v>50</v>
      </c>
      <c r="T33" s="151"/>
      <c r="U33" s="76"/>
      <c r="V33" s="62"/>
      <c r="W33" s="63"/>
      <c r="X33" s="151"/>
      <c r="Y33" s="76">
        <f t="shared" si="6"/>
        <v>31</v>
      </c>
      <c r="Z33" s="62">
        <v>10</v>
      </c>
      <c r="AA33" s="63">
        <v>20</v>
      </c>
      <c r="AB33" s="151"/>
      <c r="AC33" s="76">
        <f t="shared" si="7"/>
        <v>31</v>
      </c>
      <c r="AD33" s="62">
        <v>5.09</v>
      </c>
      <c r="AE33" s="63">
        <v>3</v>
      </c>
      <c r="AF33" s="151"/>
      <c r="AG33" s="76"/>
      <c r="AH33" s="62"/>
      <c r="AI33" s="63"/>
      <c r="AJ33" s="151"/>
      <c r="AK33" s="76">
        <f t="shared" si="9"/>
        <v>31</v>
      </c>
      <c r="AL33" s="62">
        <v>50</v>
      </c>
      <c r="AM33" s="63">
        <v>110</v>
      </c>
      <c r="AN33" s="151"/>
      <c r="AO33" s="76"/>
      <c r="AP33" s="62"/>
      <c r="AQ33" s="63"/>
      <c r="AR33" s="151"/>
      <c r="AS33" s="76">
        <f t="shared" si="11"/>
        <v>31</v>
      </c>
      <c r="AT33" s="62">
        <v>10.76</v>
      </c>
      <c r="AU33" s="63">
        <v>70</v>
      </c>
      <c r="AV33" s="151"/>
      <c r="AW33" s="67"/>
    </row>
    <row r="34" spans="1:49" s="49" customFormat="1" ht="11.25" x14ac:dyDescent="0.2">
      <c r="A34" s="45" t="s">
        <v>92</v>
      </c>
      <c r="B34" s="47">
        <f>SUM(B3:B33)</f>
        <v>244.28</v>
      </c>
      <c r="C34" s="48">
        <f>SUM(C3:C33)</f>
        <v>1676</v>
      </c>
      <c r="D34" s="79">
        <f>(SUM(D3:D33)/D39)*C39</f>
        <v>22</v>
      </c>
      <c r="E34" s="65"/>
      <c r="F34" s="47">
        <f>SUM(F3:F33)</f>
        <v>539.37</v>
      </c>
      <c r="G34" s="48">
        <f>SUM(G3:G33)</f>
        <v>3793</v>
      </c>
      <c r="H34" s="79">
        <f>(SUM(H3:H33)/D39)*C39</f>
        <v>102</v>
      </c>
      <c r="I34" s="65"/>
      <c r="J34" s="47">
        <f>SUM(J3:J33)</f>
        <v>610.62</v>
      </c>
      <c r="K34" s="48">
        <f>SUM(K3:K33)</f>
        <v>5068</v>
      </c>
      <c r="L34" s="79">
        <f>(SUM(L3:L33)/D39)*C39</f>
        <v>18</v>
      </c>
      <c r="M34" s="77"/>
      <c r="N34" s="47">
        <f>SUM(N3:N33)</f>
        <v>527.45999999999992</v>
      </c>
      <c r="O34" s="48">
        <f>SUM(O3:O33)</f>
        <v>4296</v>
      </c>
      <c r="P34" s="79">
        <f>(SUM(P3:P33)/D39)*C39</f>
        <v>26.000000000000004</v>
      </c>
      <c r="Q34" s="65"/>
      <c r="R34" s="47">
        <f>SUM(R3:R33)</f>
        <v>716.66</v>
      </c>
      <c r="S34" s="48">
        <f>SUM(S3:S33)</f>
        <v>6362</v>
      </c>
      <c r="T34" s="79">
        <f>(SUM(T3:T33)/D39)*C39</f>
        <v>35.6</v>
      </c>
      <c r="U34" s="65"/>
      <c r="V34" s="47">
        <f>SUM(V3:V33)</f>
        <v>659.1099999999999</v>
      </c>
      <c r="W34" s="48">
        <f>SUM(W3:W33)</f>
        <v>10132</v>
      </c>
      <c r="X34" s="79">
        <f>(SUM(X3:X33)/D39)*C39</f>
        <v>39.6</v>
      </c>
      <c r="Y34" s="65"/>
      <c r="Z34" s="47">
        <f>SUM(Z3:Z33)</f>
        <v>685.42</v>
      </c>
      <c r="AA34" s="48">
        <f>SUM(AA3:AA33)</f>
        <v>4641</v>
      </c>
      <c r="AB34" s="79">
        <f>(SUM(AB3:AB33)/D39)*C39</f>
        <v>34</v>
      </c>
      <c r="AC34" s="65"/>
      <c r="AD34" s="47">
        <f>SUM(AD3:AD33)</f>
        <v>680.4</v>
      </c>
      <c r="AE34" s="48">
        <f>SUM(AE3:AE33)</f>
        <v>5625</v>
      </c>
      <c r="AF34" s="79">
        <f>(SUM(AF3:AF33)/D39)*C39</f>
        <v>30</v>
      </c>
      <c r="AG34" s="65"/>
      <c r="AH34" s="54">
        <f>SUM(AH3:AH33)</f>
        <v>566.41999999999996</v>
      </c>
      <c r="AI34" s="48">
        <f>SUM(AI3:AI33)</f>
        <v>4043</v>
      </c>
      <c r="AJ34" s="79">
        <f>(SUM(AJ3:AJ33)/D39)*C39</f>
        <v>13.999999999999998</v>
      </c>
      <c r="AK34" s="65"/>
      <c r="AL34" s="47">
        <f>SUM(AL3:AL33)</f>
        <v>667.92000000000019</v>
      </c>
      <c r="AM34" s="48">
        <f>SUM(AM3:AM33)</f>
        <v>2548</v>
      </c>
      <c r="AN34" s="79">
        <f>(SUM(AN3:AN33)/D39)*C39</f>
        <v>13.999999999999998</v>
      </c>
      <c r="AO34" s="65"/>
      <c r="AP34" s="47">
        <f>SUM(AP3:AP33)</f>
        <v>460.50000000000011</v>
      </c>
      <c r="AQ34" s="48">
        <f>SUM(AQ3:AQ33)</f>
        <v>2150</v>
      </c>
      <c r="AR34" s="79">
        <f>(SUM(AR3:AR33)/D39)*C39</f>
        <v>52.800000000000004</v>
      </c>
      <c r="AS34" s="65"/>
      <c r="AT34" s="47">
        <f>SUM(AT3:AT33)</f>
        <v>377.75999999999988</v>
      </c>
      <c r="AU34" s="48">
        <f>SUM(AU3:AU33)</f>
        <v>2215</v>
      </c>
      <c r="AV34" s="79">
        <f>(SUM(AV3:AV33)/D39)*C39</f>
        <v>99.6</v>
      </c>
      <c r="AW34" s="67"/>
    </row>
    <row r="35" spans="1:49" s="52" customFormat="1" ht="11.25" x14ac:dyDescent="0.2">
      <c r="A35" s="46" t="s">
        <v>93</v>
      </c>
      <c r="B35" s="50">
        <f>B34</f>
        <v>244.28</v>
      </c>
      <c r="C35" s="51">
        <f>C34</f>
        <v>1676</v>
      </c>
      <c r="D35" s="80">
        <f>D34</f>
        <v>22</v>
      </c>
      <c r="E35" s="66"/>
      <c r="F35" s="50">
        <f>F34+B35</f>
        <v>783.65</v>
      </c>
      <c r="G35" s="51">
        <f>G34+C35</f>
        <v>5469</v>
      </c>
      <c r="H35" s="80">
        <f>H34+D35</f>
        <v>124</v>
      </c>
      <c r="I35" s="66"/>
      <c r="J35" s="50">
        <f>J34+F35</f>
        <v>1394.27</v>
      </c>
      <c r="K35" s="51">
        <f>K34+G35</f>
        <v>10537</v>
      </c>
      <c r="L35" s="80">
        <f>L34+H35</f>
        <v>142</v>
      </c>
      <c r="M35" s="66"/>
      <c r="N35" s="50">
        <f>N34+J35</f>
        <v>1921.73</v>
      </c>
      <c r="O35" s="51">
        <f>O34+K35</f>
        <v>14833</v>
      </c>
      <c r="P35" s="80">
        <f>P34+L35</f>
        <v>168</v>
      </c>
      <c r="Q35" s="66"/>
      <c r="R35" s="50">
        <f>R34+N35</f>
        <v>2638.39</v>
      </c>
      <c r="S35" s="51">
        <f>S34+O35</f>
        <v>21195</v>
      </c>
      <c r="T35" s="80">
        <f>T34+P35</f>
        <v>203.6</v>
      </c>
      <c r="U35" s="66"/>
      <c r="V35" s="50">
        <f>V34+R35</f>
        <v>3297.5</v>
      </c>
      <c r="W35" s="51">
        <f>W34+S35</f>
        <v>31327</v>
      </c>
      <c r="X35" s="80">
        <f>X34+T35</f>
        <v>243.2</v>
      </c>
      <c r="Y35" s="66"/>
      <c r="Z35" s="50">
        <f>Z34+V35</f>
        <v>3982.92</v>
      </c>
      <c r="AA35" s="51">
        <f>AA34+W35</f>
        <v>35968</v>
      </c>
      <c r="AB35" s="80">
        <f>AB34+X35</f>
        <v>277.2</v>
      </c>
      <c r="AC35" s="66"/>
      <c r="AD35" s="50">
        <f>AD34+Z35</f>
        <v>4663.32</v>
      </c>
      <c r="AE35" s="51">
        <f>AE34+AA35</f>
        <v>41593</v>
      </c>
      <c r="AF35" s="80">
        <f>AF34+AB35</f>
        <v>307.2</v>
      </c>
      <c r="AG35" s="66"/>
      <c r="AH35" s="86">
        <f>AH34+AD35</f>
        <v>5229.74</v>
      </c>
      <c r="AI35" s="51">
        <f>AI34+AE35</f>
        <v>45636</v>
      </c>
      <c r="AJ35" s="80">
        <f>AJ34+AF35</f>
        <v>321.2</v>
      </c>
      <c r="AK35" s="66"/>
      <c r="AL35" s="50">
        <f>AL34+AH35</f>
        <v>5897.66</v>
      </c>
      <c r="AM35" s="51">
        <f>AM34+AI35</f>
        <v>48184</v>
      </c>
      <c r="AN35" s="80">
        <f>AN34+AJ35</f>
        <v>335.2</v>
      </c>
      <c r="AO35" s="66"/>
      <c r="AP35" s="50">
        <f>AP34+AL35</f>
        <v>6358.16</v>
      </c>
      <c r="AQ35" s="51">
        <f>AQ34+AM35</f>
        <v>50334</v>
      </c>
      <c r="AR35" s="80">
        <f>AR34+AN35</f>
        <v>388</v>
      </c>
      <c r="AS35" s="66"/>
      <c r="AT35" s="50">
        <f>AT34+AP35</f>
        <v>6735.92</v>
      </c>
      <c r="AU35" s="51">
        <f>AU34+AQ35</f>
        <v>52549</v>
      </c>
      <c r="AV35" s="80">
        <f>AV34+AR35</f>
        <v>487.6</v>
      </c>
      <c r="AW35" s="92"/>
    </row>
    <row r="36" spans="1:49" s="49" customFormat="1" ht="11.25" x14ac:dyDescent="0.2">
      <c r="A36" s="49" t="s">
        <v>149</v>
      </c>
      <c r="B36" s="47">
        <f>MAX(B3:B33)</f>
        <v>20.67</v>
      </c>
      <c r="C36" s="55">
        <f>MAX(C3:C33)</f>
        <v>350</v>
      </c>
      <c r="D36" s="152">
        <f>MAX(D3:D33)</f>
        <v>1.3888888888888888E-2</v>
      </c>
      <c r="E36" s="67"/>
      <c r="F36" s="47">
        <f>MAX(F3:F33)</f>
        <v>61.1</v>
      </c>
      <c r="G36" s="55">
        <f>MAX(G3:G33)</f>
        <v>593</v>
      </c>
      <c r="H36" s="152">
        <f>MAX(H3:H33)</f>
        <v>6.9444444444444434E-2</v>
      </c>
      <c r="I36" s="67"/>
      <c r="J36" s="47">
        <f>MAX(J3:J33)</f>
        <v>84.039999999999992</v>
      </c>
      <c r="K36" s="55">
        <f>MAX(K3:K33)</f>
        <v>1965</v>
      </c>
      <c r="L36" s="152">
        <f>MAX(L3:L33)</f>
        <v>1.7361111111111112E-2</v>
      </c>
      <c r="M36" s="67"/>
      <c r="N36" s="47">
        <f>MAX(N3:N33)</f>
        <v>56.289999999999992</v>
      </c>
      <c r="O36" s="55">
        <f>MAX(O3:O33)</f>
        <v>1084</v>
      </c>
      <c r="P36" s="152">
        <f>MAX(P3:P33)</f>
        <v>1.7361111111111112E-2</v>
      </c>
      <c r="Q36" s="67"/>
      <c r="R36" s="47">
        <f>MAX(R3:R33)</f>
        <v>66.210000000000008</v>
      </c>
      <c r="S36" s="55">
        <f>MAX(S3:S33)</f>
        <v>1130</v>
      </c>
      <c r="T36" s="152">
        <f>MAX(T3:T33)</f>
        <v>2.5694444444444447E-2</v>
      </c>
      <c r="U36" s="67"/>
      <c r="V36" s="47">
        <f>MAX(V3:V33)</f>
        <v>91</v>
      </c>
      <c r="W36" s="55">
        <f>MAX(W3:W33)</f>
        <v>1530</v>
      </c>
      <c r="X36" s="152">
        <f>MAX(X3:X33)</f>
        <v>2.4305555555555556E-2</v>
      </c>
      <c r="Y36" s="67"/>
      <c r="Z36" s="47">
        <f>MAX(Z3:Z33)</f>
        <v>80</v>
      </c>
      <c r="AA36" s="55">
        <f>MAX(AA3:AA33)</f>
        <v>800</v>
      </c>
      <c r="AB36" s="152">
        <f>MAX(AB3:AB33)</f>
        <v>2.7777777777777776E-2</v>
      </c>
      <c r="AC36" s="67"/>
      <c r="AD36" s="47">
        <f>MAX(AD3:AD33)</f>
        <v>81.490000000000009</v>
      </c>
      <c r="AE36" s="55">
        <f>MAX(AE3:AE33)</f>
        <v>1265</v>
      </c>
      <c r="AF36" s="152">
        <f>MAX(AF3:AF33)</f>
        <v>2.7777777777777776E-2</v>
      </c>
      <c r="AG36" s="67"/>
      <c r="AH36" s="47">
        <f>MAX(AH3:AH33)</f>
        <v>52.169999999999995</v>
      </c>
      <c r="AI36" s="55">
        <f>MAX(AI3:AI33)</f>
        <v>755</v>
      </c>
      <c r="AJ36" s="152">
        <f>MAX(AJ3:AJ33)</f>
        <v>1.3888888888888888E-2</v>
      </c>
      <c r="AK36" s="67"/>
      <c r="AL36" s="47">
        <f>MAX(AL3:AL33)</f>
        <v>60.62</v>
      </c>
      <c r="AM36" s="55">
        <f>MAX(AM3:AM33)</f>
        <v>465</v>
      </c>
      <c r="AN36" s="152">
        <f>MAX(AN3:AN33)</f>
        <v>1.3888888888888888E-2</v>
      </c>
      <c r="AO36" s="67"/>
      <c r="AP36" s="47">
        <f>MAX(AP3:AP33)</f>
        <v>61.3</v>
      </c>
      <c r="AQ36" s="55">
        <f>MAX(AQ3:AQ33)</f>
        <v>396</v>
      </c>
      <c r="AR36" s="152">
        <f>MAX(AR3:AR33)</f>
        <v>4.8611111111111112E-2</v>
      </c>
      <c r="AS36" s="67"/>
      <c r="AT36" s="47">
        <f>MAX(AT3:AT33)</f>
        <v>30.4</v>
      </c>
      <c r="AU36" s="55">
        <f>MAX(AU3:AU33)</f>
        <v>750</v>
      </c>
      <c r="AV36" s="152">
        <f>MAX(AV3:AV33)</f>
        <v>4.1666666666666664E-2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11.103636363636364</v>
      </c>
      <c r="C37" s="55">
        <f>IFERROR(AVERAGE(C3:C33),0)</f>
        <v>76.181818181818187</v>
      </c>
      <c r="D37" s="152">
        <f>IFERROR(AVERAGE(D3:D33),0)</f>
        <v>1.2731481481481481E-2</v>
      </c>
      <c r="E37" s="67"/>
      <c r="F37" s="54">
        <f>IFERROR(AVERAGE(F3:F33),0)</f>
        <v>21.5748</v>
      </c>
      <c r="G37" s="55">
        <f>IFERROR(AVERAGE(G3:G33),0)</f>
        <v>151.72</v>
      </c>
      <c r="H37" s="152">
        <f>IFERROR(AVERAGE(H3:H33),0)</f>
        <v>4.4270833333333329E-2</v>
      </c>
      <c r="I37" s="67"/>
      <c r="J37" s="54">
        <f>IFERROR(AVERAGE(J3:J33),0)</f>
        <v>21.055862068965517</v>
      </c>
      <c r="K37" s="55">
        <f>IFERROR(AVERAGE(K3:K33),0)</f>
        <v>174.75862068965517</v>
      </c>
      <c r="L37" s="152">
        <f>IFERROR(AVERAGE(L3:L33),0)</f>
        <v>1.5625E-2</v>
      </c>
      <c r="M37" s="67"/>
      <c r="N37" s="54">
        <f>IFERROR(AVERAGE(N3:N33),0)</f>
        <v>19.535555555555554</v>
      </c>
      <c r="O37" s="55">
        <f>IFERROR(AVERAGE(O3:O33),0)</f>
        <v>159.11111111111111</v>
      </c>
      <c r="P37" s="152">
        <f>IFERROR(AVERAGE(P3:P33),0)</f>
        <v>1.1284722222222222E-2</v>
      </c>
      <c r="Q37" s="67"/>
      <c r="R37" s="54">
        <f>IFERROR(AVERAGE(R3:R33),0)</f>
        <v>23.118064516129031</v>
      </c>
      <c r="S37" s="55">
        <f>IFERROR(AVERAGE(S3:S33),0)</f>
        <v>205.2258064516129</v>
      </c>
      <c r="T37" s="152">
        <f>IFERROR(AVERAGE(T3:T33),0)</f>
        <v>1.2361111111111111E-2</v>
      </c>
      <c r="U37" s="67"/>
      <c r="V37" s="54">
        <f>IFERROR(AVERAGE(V3:V33),0)</f>
        <v>26.364399999999996</v>
      </c>
      <c r="W37" s="55">
        <f>IFERROR(AVERAGE(W3:W33),0)</f>
        <v>405.28</v>
      </c>
      <c r="X37" s="152">
        <f>IFERROR(AVERAGE(X3:X33),0)</f>
        <v>2.2916666666666669E-2</v>
      </c>
      <c r="Y37" s="67"/>
      <c r="Z37" s="54">
        <f>IFERROR(AVERAGE(Z3:Z33),0)</f>
        <v>22.847333333333331</v>
      </c>
      <c r="AA37" s="55">
        <f>IFERROR(AVERAGE(AA3:AA33),0)</f>
        <v>154.69999999999999</v>
      </c>
      <c r="AB37" s="152">
        <f>IFERROR(AVERAGE(AB3:AB33),0)</f>
        <v>1.9675925925925927E-2</v>
      </c>
      <c r="AC37" s="67"/>
      <c r="AD37" s="54">
        <f>IFERROR(AVERAGE(AD3:AD33),0)</f>
        <v>22.68</v>
      </c>
      <c r="AE37" s="55">
        <f>IFERROR(AVERAGE(AE3:AE33),0)</f>
        <v>187.5</v>
      </c>
      <c r="AF37" s="152">
        <f>IFERROR(AVERAGE(AF3:AF33),0)</f>
        <v>2.6041666666666664E-2</v>
      </c>
      <c r="AG37" s="67"/>
      <c r="AH37" s="54">
        <f>IFERROR(AVERAGE(AH3:AH33),0)</f>
        <v>19.531724137931032</v>
      </c>
      <c r="AI37" s="55">
        <f>IFERROR(AVERAGE(AI3:AI33),0)</f>
        <v>139.41379310344828</v>
      </c>
      <c r="AJ37" s="152">
        <f>IFERROR(AVERAGE(AJ3:AJ33),0)</f>
        <v>1.2152777777777776E-2</v>
      </c>
      <c r="AK37" s="67"/>
      <c r="AL37" s="54">
        <f>IFERROR(AVERAGE(AL3:AL33),0)</f>
        <v>21.545806451612908</v>
      </c>
      <c r="AM37" s="55">
        <f>IFERROR(AVERAGE(AM3:AM33),0)</f>
        <v>82.193548387096769</v>
      </c>
      <c r="AN37" s="152">
        <f>IFERROR(AVERAGE(AN3:AN33),0)</f>
        <v>1.2152777777777776E-2</v>
      </c>
      <c r="AO37" s="67"/>
      <c r="AP37" s="54">
        <f>IFERROR(AVERAGE(AP3:AP33),0)</f>
        <v>15.879310344827591</v>
      </c>
      <c r="AQ37" s="55">
        <f>IFERROR(AVERAGE(AQ3:AQ33),0)</f>
        <v>74.137931034482762</v>
      </c>
      <c r="AR37" s="152">
        <f>IFERROR(AVERAGE(AR3:AR33),0)</f>
        <v>1.8333333333333333E-2</v>
      </c>
      <c r="AS37" s="67"/>
      <c r="AT37" s="54">
        <f>IFERROR(AVERAGE(AT3:AT33),0)</f>
        <v>13.991111111111106</v>
      </c>
      <c r="AU37" s="55">
        <f>IFERROR(AVERAGE(AU3:AU33),0)</f>
        <v>82.037037037037038</v>
      </c>
      <c r="AV37" s="152">
        <f>IFERROR(AVERAGE(AV3:AV33),0)</f>
        <v>1.7291666666666664E-2</v>
      </c>
      <c r="AW37" s="67"/>
    </row>
    <row r="38" spans="1:49" s="49" customFormat="1" ht="11.25" x14ac:dyDescent="0.2">
      <c r="A38" s="49" t="s">
        <v>236</v>
      </c>
      <c r="B38" s="54">
        <f>B34-'16'!B34</f>
        <v>-125.79999999999998</v>
      </c>
      <c r="C38" s="78">
        <f>C34-'16'!C34</f>
        <v>515</v>
      </c>
      <c r="D38" s="105">
        <f>IF(B34+D34=0,0,D34/(B34+D34))</f>
        <v>8.2619798708126788E-2</v>
      </c>
      <c r="E38" s="67"/>
      <c r="F38" s="54">
        <f>F34-'16'!F34</f>
        <v>-30.310000000000059</v>
      </c>
      <c r="G38" s="78">
        <f>G34-'16'!G34</f>
        <v>160</v>
      </c>
      <c r="H38" s="105">
        <f>IF(F34+H34=0,0,H34/(F34+H34))</f>
        <v>0.15903456663080592</v>
      </c>
      <c r="I38" s="67"/>
      <c r="J38" s="54">
        <f>J34-'16'!J34</f>
        <v>41.200000000000159</v>
      </c>
      <c r="K38" s="78">
        <f>K34-'16'!K34</f>
        <v>2495</v>
      </c>
      <c r="L38" s="105">
        <f>IF(J34+L34=0,0,L34/(J34+L34))</f>
        <v>2.8634150997422926E-2</v>
      </c>
      <c r="M38" s="67"/>
      <c r="N38" s="54">
        <f>N34-'16'!N34</f>
        <v>-74.469999999999914</v>
      </c>
      <c r="O38" s="78">
        <f>O34-'16'!O34</f>
        <v>-631</v>
      </c>
      <c r="P38" s="105">
        <f>IF(N34+P34=0,0,P34/(N34+P34))</f>
        <v>4.6977197990821389E-2</v>
      </c>
      <c r="Q38" s="67"/>
      <c r="R38" s="54">
        <f>R34-'16'!R34</f>
        <v>18.039999999999964</v>
      </c>
      <c r="S38" s="78">
        <f>S34-'16'!S34</f>
        <v>-1564</v>
      </c>
      <c r="T38" s="105">
        <f>IF(R34+T34=0,0,T34/(R34+T34))</f>
        <v>4.7324063488687423E-2</v>
      </c>
      <c r="U38" s="67"/>
      <c r="V38" s="54">
        <f>V34-'16'!V34</f>
        <v>-31.930000000000177</v>
      </c>
      <c r="W38" s="78">
        <f>W34-'16'!W34</f>
        <v>6865</v>
      </c>
      <c r="X38" s="105">
        <f>IF(V34+X34=0,0,X34/(V34+X34))</f>
        <v>5.6675874110861453E-2</v>
      </c>
      <c r="Y38" s="67"/>
      <c r="Z38" s="54">
        <f>Z34-'16'!Z34</f>
        <v>143.94500000000005</v>
      </c>
      <c r="AA38" s="78">
        <f>AA34-'16'!AA34</f>
        <v>-1042</v>
      </c>
      <c r="AB38" s="105">
        <f>IF(Z34+AB34=0,0,AB34/(Z34+AB34))</f>
        <v>4.7260293013816686E-2</v>
      </c>
      <c r="AC38" s="67"/>
      <c r="AD38" s="54">
        <f>AD34-'16'!AD34</f>
        <v>-233.25999999999976</v>
      </c>
      <c r="AE38" s="78">
        <f>AE34-'16'!AE34</f>
        <v>-6238</v>
      </c>
      <c r="AF38" s="105">
        <f>IF(AD34+AF34=0,0,AF34/(AD34+AF34))</f>
        <v>4.2229729729729729E-2</v>
      </c>
      <c r="AG38" s="67"/>
      <c r="AH38" s="54">
        <f>AH34-'16'!AH34</f>
        <v>-149.11000000000013</v>
      </c>
      <c r="AI38" s="78">
        <f>AI34-'16'!AI34</f>
        <v>-1918</v>
      </c>
      <c r="AJ38" s="105">
        <f>IF(AH34+AJ34=0,0,AJ34/(AH34+AJ34))</f>
        <v>2.4120464491230488E-2</v>
      </c>
      <c r="AK38" s="67"/>
      <c r="AL38" s="54">
        <f>AL34-'16'!AL34</f>
        <v>-38.799999999999841</v>
      </c>
      <c r="AM38" s="78">
        <f>AM34-'16'!AM34</f>
        <v>-2083</v>
      </c>
      <c r="AN38" s="105">
        <f>IF(AL34+AN34=0,0,AN34/(AL34+AN34))</f>
        <v>2.0530267480056305E-2</v>
      </c>
      <c r="AO38" s="67"/>
      <c r="AP38" s="54">
        <f>AP34-'16'!AP34</f>
        <v>-202.08999999999969</v>
      </c>
      <c r="AQ38" s="78">
        <f>AQ34-'16'!AQ34</f>
        <v>-552</v>
      </c>
      <c r="AR38" s="105">
        <f>IF(AP34+AR34=0,0,AR34/(AP34+AR34))</f>
        <v>0.10286382232612507</v>
      </c>
      <c r="AS38" s="67"/>
      <c r="AT38" s="54">
        <f>AT34-'16'!AT34</f>
        <v>-176.83000000000027</v>
      </c>
      <c r="AU38" s="78">
        <f>AU34-'16'!AU34</f>
        <v>-1858</v>
      </c>
      <c r="AV38" s="105">
        <f>IF(AT34+AV34=0,0,AV34/(AT34+AV34))</f>
        <v>0.2086475615887381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G39" s="217"/>
      <c r="H39" s="169"/>
      <c r="I39" s="168"/>
      <c r="J39" s="50">
        <f>SUM(B34,F34,J34)</f>
        <v>1394.27</v>
      </c>
      <c r="K39" s="51">
        <f t="shared" ref="K39:L39" si="12">SUM(C34,G34,K34)</f>
        <v>10537</v>
      </c>
      <c r="L39" s="170">
        <f t="shared" si="12"/>
        <v>142</v>
      </c>
      <c r="M39" s="168"/>
      <c r="P39" s="169"/>
      <c r="Q39" s="168"/>
      <c r="T39" s="169"/>
      <c r="U39" s="168"/>
      <c r="V39" s="50">
        <f>SUM(N34,R34,V34)</f>
        <v>1903.2299999999998</v>
      </c>
      <c r="W39" s="51">
        <f>SUM(O34,S34,W34)</f>
        <v>20790</v>
      </c>
      <c r="X39" s="170">
        <f>SUM(P34,T34,X34)</f>
        <v>101.20000000000002</v>
      </c>
      <c r="Y39" s="168"/>
      <c r="AB39" s="169"/>
      <c r="AC39" s="168"/>
      <c r="AF39" s="169"/>
      <c r="AG39" s="168"/>
      <c r="AH39" s="86">
        <f>SUM(Z34,AD34,AH34)</f>
        <v>1932.2399999999998</v>
      </c>
      <c r="AI39" s="51">
        <f>SUM(AA34,AE34,AI34)</f>
        <v>14309</v>
      </c>
      <c r="AJ39" s="170">
        <f>SUM(AB34,AF34,AJ34)</f>
        <v>78</v>
      </c>
      <c r="AK39" s="168"/>
      <c r="AN39" s="169"/>
      <c r="AO39" s="168"/>
      <c r="AR39" s="169"/>
      <c r="AS39" s="168"/>
      <c r="AT39" s="50">
        <f>SUM(AL34,AP34,AT34)</f>
        <v>1506.1800000000003</v>
      </c>
      <c r="AU39" s="51">
        <f>SUM(AM34,AQ34,AU34)</f>
        <v>6913</v>
      </c>
      <c r="AV39" s="170">
        <f>SUM(AN34,AR34,AV34)</f>
        <v>166.39999999999998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17.911432810867293</v>
      </c>
      <c r="K40" s="55">
        <f>IFERROR(AVERAGE(C37,G37,K37),0)</f>
        <v>134.22014629049113</v>
      </c>
      <c r="L40" s="152">
        <f>IFERROR(AVERAGE(D37,H37,L37),0)</f>
        <v>2.4209104938271605E-2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23.006006690561531</v>
      </c>
      <c r="W40" s="55">
        <f>IFERROR(AVERAGE(O37,S37,W37),0)</f>
        <v>256.53897252090798</v>
      </c>
      <c r="X40" s="152">
        <f>IFERROR(AVERAGE(P37,T37,X37),0)</f>
        <v>1.5520833333333333E-2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21.686352490421456</v>
      </c>
      <c r="AI40" s="55">
        <f>IFERROR(AVERAGE(AA37,AE37,AI37),0)</f>
        <v>160.53793103448277</v>
      </c>
      <c r="AJ40" s="152">
        <f>IFERROR(AVERAGE(AB37,AF37,AJ37),0)</f>
        <v>1.9290123456790122E-2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17.138742635850534</v>
      </c>
      <c r="AU40" s="55">
        <f>IFERROR(AVERAGE(AM37,AQ37,AU37),0)</f>
        <v>79.456172152872185</v>
      </c>
      <c r="AV40" s="152">
        <f>IFERROR(AVERAGE(AN37,AR37,AV37),0)</f>
        <v>1.5925925925925923E-2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9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8</v>
      </c>
      <c r="H41" s="102">
        <f>RANK(H34,(D34,H34,L34,P34,T34,X34,AB34,AF34,AJ34,AN34,AR34,AV34))</f>
        <v>1</v>
      </c>
      <c r="I41" s="103"/>
      <c r="J41" s="95">
        <f>RANK(J34,(B34,F34,J34,N34,R34,V34,Z34,AD34,AH34,AL34,AP34,AT34))</f>
        <v>6</v>
      </c>
      <c r="K41" s="96">
        <f>RANK(K34,(C34,G34,K34,O34,S34,W34,AA34,AE34,AI34,AM34,AQ34,AU34))</f>
        <v>4</v>
      </c>
      <c r="L41" s="102">
        <f>RANK(L34,(D34,H34,L34,P34,T34,X34,AB34,AF34,AJ34,AN34,AR34,AV34))</f>
        <v>10</v>
      </c>
      <c r="M41" s="103"/>
      <c r="N41" s="95">
        <f>RANK(N34,(B34,F34,J34,N34,R34,V34,Z34,AD34,AH34,AL34,AP34,AT34))</f>
        <v>9</v>
      </c>
      <c r="O41" s="96">
        <f>RANK(O34,(C34,G34,K34,O34,S34,W34,AA34,AE34,AI34,AM34,AQ34,AU34))</f>
        <v>6</v>
      </c>
      <c r="P41" s="102">
        <f>RANK(P34,(D34,H34,L34,P34,T34,X34,AB34,AF34,AJ34,AN34,AR34,AV34))</f>
        <v>8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2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1</v>
      </c>
      <c r="X41" s="102">
        <f>RANK(X34,(D34,H34,L34,P34,T34,X34,AB34,AF34,AJ34,AN34,AR34,AV34))</f>
        <v>4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6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3</v>
      </c>
      <c r="AF41" s="102">
        <f>RANK(AF34,(D34,H34,L34,P34,T34,X34,AB34,AF34,AJ34,AN34,AR34,AV34))</f>
        <v>7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7</v>
      </c>
      <c r="AJ41" s="102">
        <f>RANK(AJ34,(D34,H34,L34,P34,T34,X34,AB34,AF34,AJ34,AN34,AR34,AV34))</f>
        <v>11</v>
      </c>
      <c r="AK41" s="103"/>
      <c r="AL41" s="95">
        <f>RANK(AL34,(B34,F34,J34,N34,R34,V34,Z34,AD34,AH34,AL34,AP34,AT34))</f>
        <v>4</v>
      </c>
      <c r="AM41" s="96">
        <f>RANK(AM34,(C34,G34,K34,O34,S34,W34,AA34,AE34,AI34,AM34,AQ34,AU34))</f>
        <v>9</v>
      </c>
      <c r="AN41" s="102">
        <f>RANK(AN34,(D34,H34,L34,P34,T34,X34,AB34,AF34,AJ34,AN34,AR34,AV34))</f>
        <v>11</v>
      </c>
      <c r="AO41" s="103"/>
      <c r="AP41" s="95">
        <f>RANK(AP34,(B34,F34,J34,N34,R34,V34,Z34,AD34,AH34,AL34,AP34,AT34))</f>
        <v>10</v>
      </c>
      <c r="AQ41" s="96">
        <f>RANK(AQ34,(C34,G34,K34,O34,S34,W34,AA34,AE34,AI34,AM34,AQ34,AU34))</f>
        <v>11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11</v>
      </c>
      <c r="AU41" s="96">
        <f>RANK(AU34,(C34,G34,K34,O34,S34,W34,AA34,AE34,AI34,AM34,AQ34,AU34))</f>
        <v>10</v>
      </c>
      <c r="AV41" s="102">
        <f>RANK(AV34,(D34,H34,L34,P34,T34,X34,AB34,AF34,AJ34,AN34,AR34,AV34))</f>
        <v>2</v>
      </c>
      <c r="AW41" s="107"/>
    </row>
    <row r="42" spans="1:49" s="49" customFormat="1" ht="11.25" x14ac:dyDescent="0.2">
      <c r="A42" s="52" t="s">
        <v>214</v>
      </c>
      <c r="B42" s="86">
        <f>T1</f>
        <v>19.935633656925202</v>
      </c>
      <c r="C42" s="87">
        <f>AB1</f>
        <v>157.68830549968854</v>
      </c>
      <c r="D42" s="88"/>
      <c r="E42" s="176" t="s">
        <v>399</v>
      </c>
      <c r="F42" s="177">
        <f>SUM(J23:J33,N3:N33,R3:R33,V3:V33,Z3:Z33,AD3:AD33,AH3:AH23)</f>
        <v>3834.8000000000011</v>
      </c>
      <c r="G42" s="178">
        <f>SUM(K23:K33,O3:O32,S3:S33,W3:W32,AA3:AA33,AE3:AE33,AI3:AI23)</f>
        <v>35644</v>
      </c>
      <c r="H42" s="179"/>
      <c r="I42" s="179"/>
      <c r="J42" s="180">
        <f>IFERROR(F42/(F42+F43),0)</f>
        <v>0.5693060487654249</v>
      </c>
      <c r="K42" s="180">
        <f>IFERROR(G42/(G42+G43),0)</f>
        <v>0.6783002530971094</v>
      </c>
      <c r="L42" s="179"/>
      <c r="M42" s="259" t="s">
        <v>600</v>
      </c>
      <c r="N42" s="257">
        <v>76</v>
      </c>
      <c r="O42" s="78">
        <f>N42-'16'!N42</f>
        <v>30</v>
      </c>
      <c r="Y42" s="144"/>
      <c r="AK42" s="211" t="s">
        <v>478</v>
      </c>
      <c r="AL42" s="47">
        <f>MAX(B34,F34,J34,N34,R34,V34,Z34,AD34,AH34,AL34,AP34,AT34)</f>
        <v>716.66</v>
      </c>
      <c r="AM42" s="212">
        <f>MAX(C34,G34,K34,O34,S34,W34,AA34,AE34,AI34,AM34,AQ34,AU34)</f>
        <v>10132</v>
      </c>
      <c r="AN42" s="49" t="s">
        <v>346</v>
      </c>
      <c r="AO42" s="210" t="s">
        <v>344</v>
      </c>
      <c r="AP42" s="54">
        <f>R1-'16'!R1</f>
        <v>-125.79999999999998</v>
      </c>
      <c r="AQ42" s="78">
        <f>AF1-'16'!AF1</f>
        <v>515</v>
      </c>
      <c r="AR42" s="49" t="s">
        <v>345</v>
      </c>
      <c r="AS42" s="209" t="s">
        <v>344</v>
      </c>
      <c r="AT42" s="54">
        <f>I1-'16'!I1</f>
        <v>-50.72</v>
      </c>
      <c r="AU42" s="78">
        <f>AN1-'16'!AN1</f>
        <v>-60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18.454575342465752</v>
      </c>
      <c r="C43" s="87">
        <f>AU1/365</f>
        <v>143.96986301369864</v>
      </c>
      <c r="D43" s="88"/>
      <c r="E43" s="172" t="s">
        <v>400</v>
      </c>
      <c r="F43" s="173">
        <f>E1-F42</f>
        <v>2901.119999999999</v>
      </c>
      <c r="G43" s="174">
        <f>AU1-G42</f>
        <v>16905</v>
      </c>
      <c r="H43" s="175"/>
      <c r="I43" s="175"/>
      <c r="J43" s="181">
        <f>IFERROR(F43/(F42+F43),0)</f>
        <v>0.4306939512345751</v>
      </c>
      <c r="K43" s="181">
        <f>IFERROR(G43/(G42+G43),0)</f>
        <v>0.32169974690289066</v>
      </c>
      <c r="L43" s="175"/>
      <c r="M43" s="65" t="s">
        <v>601</v>
      </c>
      <c r="N43" s="258">
        <v>8</v>
      </c>
      <c r="O43" s="78">
        <f>N43-'16'!N43</f>
        <v>0</v>
      </c>
      <c r="Y43" s="67"/>
      <c r="AK43" s="213" t="s">
        <v>481</v>
      </c>
      <c r="AL43" s="188">
        <f>IF($B$1&lt;&gt;0,$AV$35/$B1,0)</f>
        <v>6.7501716614614488E-2</v>
      </c>
      <c r="AO43" s="209" t="s">
        <v>344</v>
      </c>
      <c r="AP43" s="54">
        <f>AV35-'16'!AV35</f>
        <v>34.800000000000011</v>
      </c>
      <c r="AQ43" s="188">
        <f>AL43-'16'!AL43</f>
        <v>1.1240234917302E-2</v>
      </c>
      <c r="AR43" s="49" t="s">
        <v>204</v>
      </c>
      <c r="AS43" s="209" t="s">
        <v>344</v>
      </c>
      <c r="AT43" s="54">
        <f>B1-'16'!B1</f>
        <v>-824.61499999999887</v>
      </c>
      <c r="AU43" s="78">
        <f>AU1-'16'!AU1</f>
        <v>-5851</v>
      </c>
      <c r="AV43" s="49" t="s">
        <v>347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214" priority="100" operator="equal">
      <formula>$R$1</formula>
    </cfRule>
    <cfRule type="cellIs" dxfId="213" priority="101" operator="equal">
      <formula>$M$1</formula>
    </cfRule>
  </conditionalFormatting>
  <conditionalFormatting sqref="C34 G34 K34 O34 S34 W34 AA34 AE34 AI34 AM34 AQ34 AU34">
    <cfRule type="cellIs" dxfId="212" priority="99" operator="equal">
      <formula>$AF$1</formula>
    </cfRule>
    <cfRule type="cellIs" dxfId="211" priority="102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10" priority="96" operator="lessThan">
      <formula>0</formula>
    </cfRule>
    <cfRule type="cellIs" dxfId="209" priority="97" operator="greaterThanOrEqual">
      <formula>0</formula>
    </cfRule>
  </conditionalFormatting>
  <conditionalFormatting sqref="C38 AU42:AU43 AQ42 G38 K38 O38 S38 W38 AA38 AE38 AI38 AM38 AQ38 AU38">
    <cfRule type="cellIs" dxfId="208" priority="94" operator="lessThan">
      <formula>0</formula>
    </cfRule>
    <cfRule type="cellIs" dxfId="207" priority="95" operator="greaterThanOrEqual">
      <formula>0</formula>
    </cfRule>
  </conditionalFormatting>
  <conditionalFormatting sqref="D38">
    <cfRule type="cellIs" dxfId="206" priority="87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05" priority="86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04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03" priority="70" operator="equal">
      <formula>MAX($D$36,$H$36,$L$36,$P$36,$T$36,$X$36,$AB$36,$AF$36,$AJ$36,$AN$36,$AR$36,$AV$36)</formula>
    </cfRule>
  </conditionalFormatting>
  <conditionalFormatting sqref="AP43">
    <cfRule type="cellIs" dxfId="202" priority="68" operator="lessThan">
      <formula>0</formula>
    </cfRule>
    <cfRule type="cellIs" dxfId="201" priority="69" operator="greaterThanOrEqual">
      <formula>0</formula>
    </cfRule>
  </conditionalFormatting>
  <conditionalFormatting sqref="AQ43">
    <cfRule type="cellIs" dxfId="200" priority="66" stopIfTrue="1" operator="lessThan">
      <formula>0</formula>
    </cfRule>
    <cfRule type="cellIs" dxfId="199" priority="67" operator="greaterThanOrEqual">
      <formula>0</formula>
    </cfRule>
  </conditionalFormatting>
  <conditionalFormatting sqref="AL42">
    <cfRule type="cellIs" dxfId="198" priority="61" stopIfTrue="1" operator="lessThan">
      <formula>1000</formula>
    </cfRule>
    <cfRule type="cellIs" dxfId="197" priority="62" stopIfTrue="1" operator="lessThan">
      <formula>1100</formula>
    </cfRule>
    <cfRule type="cellIs" dxfId="196" priority="63" stopIfTrue="1" operator="lessThan">
      <formula>9999</formula>
    </cfRule>
  </conditionalFormatting>
  <conditionalFormatting sqref="AM42">
    <cfRule type="cellIs" dxfId="195" priority="58" stopIfTrue="1" operator="lessThan">
      <formula>10000</formula>
    </cfRule>
    <cfRule type="cellIs" dxfId="194" priority="59" stopIfTrue="1" operator="lessThan">
      <formula>13000</formula>
    </cfRule>
    <cfRule type="cellIs" dxfId="193" priority="60" stopIfTrue="1" operator="lessThan">
      <formula>99999</formula>
    </cfRule>
  </conditionalFormatting>
  <conditionalFormatting sqref="AL43">
    <cfRule type="cellIs" dxfId="192" priority="55" stopIfTrue="1" operator="lessThan">
      <formula>0.05</formula>
    </cfRule>
    <cfRule type="cellIs" dxfId="191" priority="56" stopIfTrue="1" operator="lessThan">
      <formula>0.1</formula>
    </cfRule>
    <cfRule type="cellIs" dxfId="190" priority="57" stopIfTrue="1" operator="lessThanOrEqual">
      <formula>1</formula>
    </cfRule>
  </conditionalFormatting>
  <conditionalFormatting sqref="H3:H33 L3:L33 T3:T33 X3:X33 AB3:AB33 AF3:AF33 AJ3:AJ33 AN3:AN33 AR3:AR33 AV3:AV33 D3:D33 P3:P33">
    <cfRule type="cellIs" dxfId="189" priority="82" stopIfTrue="1" operator="between">
      <formula>0</formula>
      <formula>0.0416550925925926</formula>
    </cfRule>
    <cfRule type="cellIs" dxfId="188" priority="83" stopIfTrue="1" operator="between">
      <formula>0.0416666666666667</formula>
      <formula>0.0833217592592593</formula>
    </cfRule>
    <cfRule type="cellIs" dxfId="187" priority="84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186" priority="88" stopIfTrue="1" operator="between">
      <formula>0</formula>
      <formula>749.99</formula>
    </cfRule>
    <cfRule type="cellIs" dxfId="185" priority="89" stopIfTrue="1" operator="greaterThanOrEqual">
      <formula>1500</formula>
    </cfRule>
    <cfRule type="cellIs" dxfId="184" priority="90" operator="greaterThanOrEqual">
      <formula>750</formula>
    </cfRule>
  </conditionalFormatting>
  <conditionalFormatting sqref="B3:B33 F3:F33 J3:J33 R3:R33 V3:V33 Z3:Z33 AT3:AT33 AH3:AH33 AL3:AL33 AP3:AP33 N3:N33 AD3:AD33">
    <cfRule type="cellIs" dxfId="183" priority="91" stopIfTrue="1" operator="lessThan">
      <formula>50</formula>
    </cfRule>
    <cfRule type="cellIs" dxfId="182" priority="92" stopIfTrue="1" operator="greaterThanOrEqual">
      <formula>100</formula>
    </cfRule>
    <cfRule type="cellIs" dxfId="181" priority="93" operator="greaterThanOrEqual">
      <formula>50</formula>
    </cfRule>
  </conditionalFormatting>
  <conditionalFormatting sqref="O42">
    <cfRule type="cellIs" dxfId="180" priority="7" operator="lessThan">
      <formula>0</formula>
    </cfRule>
    <cfRule type="cellIs" dxfId="179" priority="8" operator="greaterThanOrEqual">
      <formula>0</formula>
    </cfRule>
  </conditionalFormatting>
  <conditionalFormatting sqref="O42">
    <cfRule type="cellIs" dxfId="178" priority="5" operator="lessThan">
      <formula>0</formula>
    </cfRule>
    <cfRule type="cellIs" dxfId="177" priority="6" operator="greaterThanOrEqual">
      <formula>0</formula>
    </cfRule>
  </conditionalFormatting>
  <conditionalFormatting sqref="O43">
    <cfRule type="cellIs" dxfId="176" priority="3" operator="lessThan">
      <formula>0</formula>
    </cfRule>
    <cfRule type="cellIs" dxfId="175" priority="4" operator="greaterThanOrEqual">
      <formula>0</formula>
    </cfRule>
  </conditionalFormatting>
  <conditionalFormatting sqref="O43">
    <cfRule type="cellIs" dxfId="174" priority="1" operator="lessThan">
      <formula>0</formula>
    </cfRule>
    <cfRule type="cellIs" dxfId="173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238</v>
      </c>
      <c r="B1" s="358">
        <f>AT35+AV35</f>
        <v>6014.5499999999993</v>
      </c>
      <c r="C1" s="358"/>
      <c r="D1" s="83" t="s">
        <v>238</v>
      </c>
      <c r="E1" s="359">
        <f>AT35</f>
        <v>5778.15</v>
      </c>
      <c r="F1" s="359"/>
      <c r="G1" s="360" t="s">
        <v>152</v>
      </c>
      <c r="H1" s="360"/>
      <c r="I1" s="356">
        <f>MAX(B36,F36,J36,N36,R36,V36,Z36,AD36,AH36,AL36,AP36,AT36)</f>
        <v>90.83</v>
      </c>
      <c r="J1" s="356"/>
      <c r="K1" s="361" t="s">
        <v>159</v>
      </c>
      <c r="L1" s="361"/>
      <c r="M1" s="362">
        <f>MAX(B34,F34,J34,N34,R34,V34,Z34,AD34,AH34,AL34,AP34,AT34)</f>
        <v>648.05999999999995</v>
      </c>
      <c r="N1" s="362"/>
      <c r="O1" s="355" t="s">
        <v>190</v>
      </c>
      <c r="P1" s="355"/>
      <c r="Q1" s="355"/>
      <c r="R1" s="149">
        <f>MIN(B34,F34,J34,N34,R34,V34,Z34,AD34,AH34,AL34,AP34,AT34)</f>
        <v>288.46999999999997</v>
      </c>
      <c r="S1" s="84" t="s">
        <v>207</v>
      </c>
      <c r="T1" s="368">
        <f>IFERROR(AVERAGE(B37,F37,J37,N37,R37,V37,Z37,AD37,AH37,AL37,AP37,AT37),0)</f>
        <v>17.438365124977199</v>
      </c>
      <c r="U1" s="368"/>
      <c r="V1" s="383" t="s">
        <v>881</v>
      </c>
      <c r="W1" s="383"/>
      <c r="X1" s="383"/>
      <c r="Y1" s="383"/>
      <c r="Z1" s="383"/>
      <c r="AA1" s="85" t="s">
        <v>207</v>
      </c>
      <c r="AB1" s="357">
        <f>IFERROR(AVERAGE(C37,G37,K37,O37,S37,W37,AA37,AE37,AI37,AM37,AQ37,AU37),0)</f>
        <v>136.21705713401113</v>
      </c>
      <c r="AC1" s="357"/>
      <c r="AD1" s="367" t="s">
        <v>190</v>
      </c>
      <c r="AE1" s="367"/>
      <c r="AF1" s="370">
        <f>MIN(C34,G34,K34,O34,S34,W34,AA34,AE34,AI34,AM34,AQ34,AU34)</f>
        <v>1627</v>
      </c>
      <c r="AG1" s="370"/>
      <c r="AH1" s="371" t="s">
        <v>159</v>
      </c>
      <c r="AI1" s="371"/>
      <c r="AJ1" s="372">
        <f>MAX(C34,G34,K34,O34,S34,W34,AA34,AE34,AI34,AM34,AQ34,AU34)</f>
        <v>6601</v>
      </c>
      <c r="AK1" s="372"/>
      <c r="AL1" s="374" t="s">
        <v>153</v>
      </c>
      <c r="AM1" s="374"/>
      <c r="AN1" s="373">
        <f>MAX(C36,G36,K36,O36,S36,W36,AA36,AE36,AI36,AM36,AQ36,AU36)</f>
        <v>2147</v>
      </c>
      <c r="AO1" s="373"/>
      <c r="AP1" s="363" t="s">
        <v>361</v>
      </c>
      <c r="AQ1" s="363"/>
      <c r="AR1" s="364">
        <f>MAX(D36,H36,L36,P36,T36,X36,AB36,AF36,AJ36,AN36,AR36,AV36)</f>
        <v>6.25E-2</v>
      </c>
      <c r="AS1" s="364"/>
      <c r="AT1" s="81" t="s">
        <v>2</v>
      </c>
      <c r="AU1" s="365">
        <f>AU35</f>
        <v>44661</v>
      </c>
      <c r="AV1" s="366"/>
      <c r="AW1" s="90"/>
    </row>
    <row r="2" spans="1:49" s="53" customFormat="1" ht="11.25" x14ac:dyDescent="0.2">
      <c r="A2" s="58" t="s">
        <v>193</v>
      </c>
      <c r="B2" s="44" t="s">
        <v>238</v>
      </c>
      <c r="C2" s="44" t="s">
        <v>2</v>
      </c>
      <c r="D2" s="44" t="s">
        <v>204</v>
      </c>
      <c r="E2" s="64" t="s">
        <v>194</v>
      </c>
      <c r="F2" s="44" t="s">
        <v>238</v>
      </c>
      <c r="G2" s="44" t="s">
        <v>2</v>
      </c>
      <c r="H2" s="44" t="s">
        <v>204</v>
      </c>
      <c r="I2" s="64" t="s">
        <v>196</v>
      </c>
      <c r="J2" s="44" t="s">
        <v>238</v>
      </c>
      <c r="K2" s="44" t="s">
        <v>2</v>
      </c>
      <c r="L2" s="44" t="s">
        <v>204</v>
      </c>
      <c r="M2" s="64" t="s">
        <v>195</v>
      </c>
      <c r="N2" s="44" t="s">
        <v>238</v>
      </c>
      <c r="O2" s="44" t="s">
        <v>2</v>
      </c>
      <c r="P2" s="44" t="s">
        <v>204</v>
      </c>
      <c r="Q2" s="64" t="s">
        <v>97</v>
      </c>
      <c r="R2" s="44" t="s">
        <v>238</v>
      </c>
      <c r="S2" s="44" t="s">
        <v>2</v>
      </c>
      <c r="T2" s="44" t="s">
        <v>204</v>
      </c>
      <c r="U2" s="64" t="s">
        <v>197</v>
      </c>
      <c r="V2" s="44" t="s">
        <v>238</v>
      </c>
      <c r="W2" s="44" t="s">
        <v>2</v>
      </c>
      <c r="X2" s="44" t="s">
        <v>204</v>
      </c>
      <c r="Y2" s="64" t="s">
        <v>198</v>
      </c>
      <c r="Z2" s="44" t="s">
        <v>238</v>
      </c>
      <c r="AA2" s="44" t="s">
        <v>2</v>
      </c>
      <c r="AB2" s="44" t="s">
        <v>204</v>
      </c>
      <c r="AC2" s="64" t="s">
        <v>199</v>
      </c>
      <c r="AD2" s="44" t="s">
        <v>238</v>
      </c>
      <c r="AE2" s="44" t="s">
        <v>2</v>
      </c>
      <c r="AF2" s="44" t="s">
        <v>204</v>
      </c>
      <c r="AG2" s="64" t="s">
        <v>200</v>
      </c>
      <c r="AH2" s="44" t="s">
        <v>238</v>
      </c>
      <c r="AI2" s="44" t="s">
        <v>2</v>
      </c>
      <c r="AJ2" s="44" t="s">
        <v>204</v>
      </c>
      <c r="AK2" s="64" t="s">
        <v>201</v>
      </c>
      <c r="AL2" s="44" t="s">
        <v>238</v>
      </c>
      <c r="AM2" s="44" t="s">
        <v>2</v>
      </c>
      <c r="AN2" s="44" t="s">
        <v>204</v>
      </c>
      <c r="AO2" s="64" t="s">
        <v>202</v>
      </c>
      <c r="AP2" s="44" t="s">
        <v>238</v>
      </c>
      <c r="AQ2" s="44" t="s">
        <v>2</v>
      </c>
      <c r="AR2" s="44" t="s">
        <v>204</v>
      </c>
      <c r="AS2" s="64" t="s">
        <v>203</v>
      </c>
      <c r="AT2" s="44" t="s">
        <v>238</v>
      </c>
      <c r="AU2" s="44" t="s">
        <v>2</v>
      </c>
      <c r="AV2" s="44" t="s">
        <v>204</v>
      </c>
      <c r="AW2" s="91"/>
    </row>
    <row r="3" spans="1:49" s="49" customFormat="1" ht="11.25" x14ac:dyDescent="0.2">
      <c r="A3" s="73">
        <v>1</v>
      </c>
      <c r="B3" s="54">
        <v>13.96</v>
      </c>
      <c r="C3" s="55">
        <v>140</v>
      </c>
      <c r="D3" s="150"/>
      <c r="E3" s="75">
        <v>1</v>
      </c>
      <c r="F3" s="54">
        <v>11.539999999999997</v>
      </c>
      <c r="G3" s="55">
        <v>50</v>
      </c>
      <c r="H3" s="150"/>
      <c r="I3" s="75">
        <v>1</v>
      </c>
      <c r="J3" s="54"/>
      <c r="K3" s="55"/>
      <c r="L3" s="150"/>
      <c r="M3" s="75">
        <v>1</v>
      </c>
      <c r="N3" s="54">
        <v>10</v>
      </c>
      <c r="O3" s="55">
        <v>3</v>
      </c>
      <c r="P3" s="150">
        <v>2.0833333333333332E-2</v>
      </c>
      <c r="Q3" s="75">
        <v>1</v>
      </c>
      <c r="R3" s="54">
        <v>20.93</v>
      </c>
      <c r="S3" s="55">
        <v>435</v>
      </c>
      <c r="T3" s="150"/>
      <c r="U3" s="75">
        <v>1</v>
      </c>
      <c r="V3" s="54">
        <v>11.24</v>
      </c>
      <c r="W3" s="55">
        <v>174</v>
      </c>
      <c r="X3" s="150"/>
      <c r="Y3" s="75">
        <v>1</v>
      </c>
      <c r="Z3" s="54">
        <v>25.82</v>
      </c>
      <c r="AA3" s="55">
        <v>152</v>
      </c>
      <c r="AB3" s="150"/>
      <c r="AC3" s="75">
        <v>1</v>
      </c>
      <c r="AD3" s="54">
        <v>5</v>
      </c>
      <c r="AE3" s="55">
        <v>3</v>
      </c>
      <c r="AF3" s="150"/>
      <c r="AG3" s="75">
        <v>1</v>
      </c>
      <c r="AH3" s="54">
        <v>16.43</v>
      </c>
      <c r="AI3" s="55">
        <v>338</v>
      </c>
      <c r="AJ3" s="150"/>
      <c r="AK3" s="75">
        <v>1</v>
      </c>
      <c r="AL3" s="54">
        <v>10.07</v>
      </c>
      <c r="AM3" s="55">
        <v>30</v>
      </c>
      <c r="AN3" s="150"/>
      <c r="AO3" s="75">
        <v>1</v>
      </c>
      <c r="AP3" s="54">
        <v>34.659999999999997</v>
      </c>
      <c r="AQ3" s="55">
        <v>45</v>
      </c>
      <c r="AR3" s="150"/>
      <c r="AS3" s="75">
        <v>1</v>
      </c>
      <c r="AT3" s="54">
        <v>37.96</v>
      </c>
      <c r="AU3" s="55">
        <v>85</v>
      </c>
      <c r="AV3" s="150"/>
      <c r="AW3" s="67"/>
    </row>
    <row r="4" spans="1:49" s="49" customFormat="1" ht="11.25" x14ac:dyDescent="0.2">
      <c r="A4" s="73">
        <f t="shared" ref="A4:A33" si="0">A3+1</f>
        <v>2</v>
      </c>
      <c r="B4" s="54">
        <v>7.87</v>
      </c>
      <c r="C4" s="55">
        <v>10</v>
      </c>
      <c r="D4" s="150"/>
      <c r="E4" s="75">
        <f t="shared" ref="E4:E30" si="1">E3+1</f>
        <v>2</v>
      </c>
      <c r="F4" s="54">
        <v>10.6</v>
      </c>
      <c r="G4" s="55">
        <v>35</v>
      </c>
      <c r="H4" s="150"/>
      <c r="I4" s="75">
        <f t="shared" ref="I4:I33" si="2">I3+1</f>
        <v>2</v>
      </c>
      <c r="J4" s="54">
        <v>10.5</v>
      </c>
      <c r="K4" s="55">
        <v>75</v>
      </c>
      <c r="L4" s="150"/>
      <c r="M4" s="75">
        <f t="shared" ref="M4:M32" si="3">M3+1</f>
        <v>2</v>
      </c>
      <c r="N4" s="54">
        <v>16.419999999999998</v>
      </c>
      <c r="O4" s="55">
        <v>162</v>
      </c>
      <c r="P4" s="150"/>
      <c r="Q4" s="75">
        <f t="shared" ref="Q4:Q33" si="4">Q3+1</f>
        <v>2</v>
      </c>
      <c r="R4" s="54">
        <v>14.5</v>
      </c>
      <c r="S4" s="55">
        <v>130</v>
      </c>
      <c r="T4" s="150"/>
      <c r="U4" s="75">
        <f t="shared" ref="U4:U32" si="5">U3+1</f>
        <v>2</v>
      </c>
      <c r="V4" s="54">
        <v>5.61</v>
      </c>
      <c r="W4" s="55">
        <v>5</v>
      </c>
      <c r="X4" s="150"/>
      <c r="Y4" s="75">
        <f t="shared" ref="Y4:Y33" si="6">Y3+1</f>
        <v>2</v>
      </c>
      <c r="Z4" s="54">
        <v>26.08</v>
      </c>
      <c r="AA4" s="55">
        <v>175</v>
      </c>
      <c r="AB4" s="150"/>
      <c r="AC4" s="75">
        <f t="shared" ref="AC4:AC33" si="7">AC3+1</f>
        <v>2</v>
      </c>
      <c r="AD4" s="54">
        <v>10</v>
      </c>
      <c r="AE4" s="55">
        <v>20</v>
      </c>
      <c r="AF4" s="150"/>
      <c r="AG4" s="75">
        <f>AG3+1</f>
        <v>2</v>
      </c>
      <c r="AH4" s="54">
        <v>10.1</v>
      </c>
      <c r="AI4" s="55">
        <v>20</v>
      </c>
      <c r="AJ4" s="150">
        <v>6.25E-2</v>
      </c>
      <c r="AK4" s="75">
        <f>AK3+1</f>
        <v>2</v>
      </c>
      <c r="AL4" s="54">
        <v>9.5</v>
      </c>
      <c r="AM4" s="55">
        <v>10</v>
      </c>
      <c r="AN4" s="150"/>
      <c r="AO4" s="75">
        <f>AO3+1</f>
        <v>2</v>
      </c>
      <c r="AP4" s="54">
        <v>10.38</v>
      </c>
      <c r="AQ4" s="55">
        <v>20</v>
      </c>
      <c r="AR4" s="150"/>
      <c r="AS4" s="75">
        <f>AS3+1</f>
        <v>2</v>
      </c>
      <c r="AT4" s="54">
        <v>14.71</v>
      </c>
      <c r="AU4" s="55">
        <v>55</v>
      </c>
      <c r="AV4" s="150"/>
      <c r="AW4" s="67"/>
    </row>
    <row r="5" spans="1:49" s="49" customFormat="1" ht="11.25" x14ac:dyDescent="0.2">
      <c r="A5" s="73">
        <f t="shared" si="0"/>
        <v>3</v>
      </c>
      <c r="B5" s="54">
        <v>10</v>
      </c>
      <c r="C5" s="55">
        <v>25</v>
      </c>
      <c r="D5" s="150"/>
      <c r="E5" s="75">
        <f t="shared" si="1"/>
        <v>3</v>
      </c>
      <c r="F5" s="54">
        <v>13.1</v>
      </c>
      <c r="G5" s="55">
        <v>33</v>
      </c>
      <c r="H5" s="150"/>
      <c r="I5" s="75">
        <f t="shared" si="2"/>
        <v>3</v>
      </c>
      <c r="J5" s="54">
        <v>12.05</v>
      </c>
      <c r="K5" s="55">
        <v>15</v>
      </c>
      <c r="L5" s="150"/>
      <c r="M5" s="75">
        <f t="shared" si="3"/>
        <v>3</v>
      </c>
      <c r="N5" s="54">
        <v>10</v>
      </c>
      <c r="O5" s="55">
        <v>40</v>
      </c>
      <c r="P5" s="150"/>
      <c r="Q5" s="75">
        <f t="shared" si="4"/>
        <v>3</v>
      </c>
      <c r="R5" s="54">
        <v>10.8</v>
      </c>
      <c r="S5" s="55">
        <v>85</v>
      </c>
      <c r="T5" s="150"/>
      <c r="U5" s="75">
        <f t="shared" si="5"/>
        <v>3</v>
      </c>
      <c r="V5" s="54">
        <v>20.12</v>
      </c>
      <c r="W5" s="55">
        <v>108</v>
      </c>
      <c r="X5" s="150"/>
      <c r="Y5" s="75">
        <f t="shared" si="6"/>
        <v>3</v>
      </c>
      <c r="Z5" s="54">
        <v>5.18</v>
      </c>
      <c r="AA5" s="55">
        <v>3</v>
      </c>
      <c r="AB5" s="150"/>
      <c r="AC5" s="75">
        <f t="shared" si="7"/>
        <v>3</v>
      </c>
      <c r="AD5" s="54">
        <v>10.69</v>
      </c>
      <c r="AE5" s="55">
        <v>20</v>
      </c>
      <c r="AF5" s="150"/>
      <c r="AG5" s="75">
        <f t="shared" ref="AG5:AG32" si="8">AG4+1</f>
        <v>3</v>
      </c>
      <c r="AH5" s="54">
        <v>10.199999999999999</v>
      </c>
      <c r="AI5" s="55">
        <v>120</v>
      </c>
      <c r="AJ5" s="150"/>
      <c r="AK5" s="75">
        <f t="shared" ref="AK5:AK33" si="9">AK4+1</f>
        <v>3</v>
      </c>
      <c r="AL5" s="54">
        <v>25.1</v>
      </c>
      <c r="AM5" s="55">
        <v>140</v>
      </c>
      <c r="AN5" s="150"/>
      <c r="AO5" s="75">
        <f t="shared" ref="AO5:AO32" si="10">AO4+1</f>
        <v>3</v>
      </c>
      <c r="AP5" s="54">
        <v>66.66</v>
      </c>
      <c r="AQ5" s="55">
        <v>130</v>
      </c>
      <c r="AR5" s="150"/>
      <c r="AS5" s="75">
        <f t="shared" ref="AS5:AS33" si="11">AS4+1</f>
        <v>3</v>
      </c>
      <c r="AT5" s="54">
        <v>5.2</v>
      </c>
      <c r="AU5" s="55">
        <v>3</v>
      </c>
      <c r="AV5" s="150"/>
      <c r="AW5" s="67"/>
    </row>
    <row r="6" spans="1:49" s="49" customFormat="1" ht="11.25" x14ac:dyDescent="0.2">
      <c r="A6" s="73">
        <f t="shared" si="0"/>
        <v>4</v>
      </c>
      <c r="B6" s="54">
        <v>5.2</v>
      </c>
      <c r="C6" s="55">
        <v>3</v>
      </c>
      <c r="D6" s="150"/>
      <c r="E6" s="75">
        <f t="shared" si="1"/>
        <v>4</v>
      </c>
      <c r="F6" s="54"/>
      <c r="G6" s="55"/>
      <c r="H6" s="150">
        <v>1.0416666666666666E-2</v>
      </c>
      <c r="I6" s="75">
        <f t="shared" si="2"/>
        <v>4</v>
      </c>
      <c r="J6" s="54">
        <v>25.76</v>
      </c>
      <c r="K6" s="55">
        <v>292</v>
      </c>
      <c r="L6" s="150">
        <v>2.0833333333333332E-2</v>
      </c>
      <c r="M6" s="75">
        <f t="shared" si="3"/>
        <v>4</v>
      </c>
      <c r="N6" s="54">
        <v>11.3</v>
      </c>
      <c r="O6" s="55">
        <v>60</v>
      </c>
      <c r="P6" s="150"/>
      <c r="Q6" s="75">
        <f t="shared" si="4"/>
        <v>4</v>
      </c>
      <c r="R6" s="54">
        <v>12.3</v>
      </c>
      <c r="S6" s="55">
        <v>211</v>
      </c>
      <c r="T6" s="150"/>
      <c r="U6" s="75">
        <f t="shared" si="5"/>
        <v>4</v>
      </c>
      <c r="V6" s="54">
        <v>20.22</v>
      </c>
      <c r="W6" s="55">
        <v>40</v>
      </c>
      <c r="X6" s="150"/>
      <c r="Y6" s="75">
        <f t="shared" si="6"/>
        <v>4</v>
      </c>
      <c r="Z6" s="54">
        <v>8.16</v>
      </c>
      <c r="AA6" s="55">
        <v>20</v>
      </c>
      <c r="AB6" s="150"/>
      <c r="AC6" s="75">
        <f t="shared" si="7"/>
        <v>4</v>
      </c>
      <c r="AD6" s="54">
        <v>56.7</v>
      </c>
      <c r="AE6" s="55">
        <v>315</v>
      </c>
      <c r="AF6" s="150"/>
      <c r="AG6" s="75">
        <f t="shared" si="8"/>
        <v>4</v>
      </c>
      <c r="AH6" s="54"/>
      <c r="AI6" s="55"/>
      <c r="AJ6" s="150"/>
      <c r="AK6" s="75">
        <f t="shared" si="9"/>
        <v>4</v>
      </c>
      <c r="AL6" s="54">
        <v>10.5</v>
      </c>
      <c r="AM6" s="55">
        <v>40</v>
      </c>
      <c r="AN6" s="150"/>
      <c r="AO6" s="75">
        <f t="shared" si="10"/>
        <v>4</v>
      </c>
      <c r="AP6" s="54">
        <v>11.44</v>
      </c>
      <c r="AQ6" s="55">
        <v>6</v>
      </c>
      <c r="AR6" s="150"/>
      <c r="AS6" s="75">
        <f t="shared" si="11"/>
        <v>4</v>
      </c>
      <c r="AT6" s="54">
        <v>11.6</v>
      </c>
      <c r="AU6" s="55">
        <v>45</v>
      </c>
      <c r="AV6" s="150"/>
      <c r="AW6" s="67"/>
    </row>
    <row r="7" spans="1:49" s="49" customFormat="1" ht="11.25" x14ac:dyDescent="0.2">
      <c r="A7" s="73">
        <f t="shared" si="0"/>
        <v>5</v>
      </c>
      <c r="B7" s="54">
        <v>15.5</v>
      </c>
      <c r="C7" s="55">
        <v>150</v>
      </c>
      <c r="D7" s="150"/>
      <c r="E7" s="75">
        <f t="shared" si="1"/>
        <v>5</v>
      </c>
      <c r="F7" s="54">
        <v>12.88</v>
      </c>
      <c r="G7" s="55">
        <v>33</v>
      </c>
      <c r="H7" s="150">
        <v>1.0416666666666666E-2</v>
      </c>
      <c r="I7" s="75">
        <f t="shared" si="2"/>
        <v>5</v>
      </c>
      <c r="J7" s="54">
        <v>10.4</v>
      </c>
      <c r="K7" s="55">
        <v>10</v>
      </c>
      <c r="L7" s="150"/>
      <c r="M7" s="75">
        <f t="shared" si="3"/>
        <v>5</v>
      </c>
      <c r="N7" s="54">
        <v>12.8</v>
      </c>
      <c r="O7" s="55">
        <v>120</v>
      </c>
      <c r="P7" s="150"/>
      <c r="Q7" s="75">
        <f t="shared" si="4"/>
        <v>5</v>
      </c>
      <c r="R7" s="54">
        <v>29.79</v>
      </c>
      <c r="S7" s="55">
        <v>441</v>
      </c>
      <c r="T7" s="150"/>
      <c r="U7" s="75">
        <f t="shared" si="5"/>
        <v>5</v>
      </c>
      <c r="V7" s="54"/>
      <c r="W7" s="55"/>
      <c r="X7" s="150"/>
      <c r="Y7" s="75">
        <f t="shared" si="6"/>
        <v>5</v>
      </c>
      <c r="Z7" s="54">
        <v>8.11</v>
      </c>
      <c r="AA7" s="55">
        <v>25</v>
      </c>
      <c r="AB7" s="150"/>
      <c r="AC7" s="75">
        <f t="shared" si="7"/>
        <v>5</v>
      </c>
      <c r="AD7" s="54">
        <v>20.420000000000002</v>
      </c>
      <c r="AE7" s="55">
        <v>125</v>
      </c>
      <c r="AF7" s="150"/>
      <c r="AG7" s="75">
        <f t="shared" si="8"/>
        <v>5</v>
      </c>
      <c r="AH7" s="54">
        <v>11.06</v>
      </c>
      <c r="AI7" s="55">
        <v>155</v>
      </c>
      <c r="AJ7" s="150">
        <v>3.4722222222222224E-2</v>
      </c>
      <c r="AK7" s="75">
        <f t="shared" si="9"/>
        <v>5</v>
      </c>
      <c r="AL7" s="54">
        <v>10.119999999999999</v>
      </c>
      <c r="AM7" s="55">
        <v>40</v>
      </c>
      <c r="AN7" s="150"/>
      <c r="AO7" s="75">
        <f t="shared" si="10"/>
        <v>5</v>
      </c>
      <c r="AP7" s="54">
        <v>25.9</v>
      </c>
      <c r="AQ7" s="55">
        <v>584</v>
      </c>
      <c r="AR7" s="150"/>
      <c r="AS7" s="75">
        <f t="shared" si="11"/>
        <v>5</v>
      </c>
      <c r="AT7" s="54">
        <v>16.5</v>
      </c>
      <c r="AU7" s="55">
        <v>52</v>
      </c>
      <c r="AV7" s="150"/>
      <c r="AW7" s="67"/>
    </row>
    <row r="8" spans="1:49" s="49" customFormat="1" ht="11.25" x14ac:dyDescent="0.2">
      <c r="A8" s="73">
        <f t="shared" si="0"/>
        <v>6</v>
      </c>
      <c r="B8" s="54">
        <v>19.5</v>
      </c>
      <c r="C8" s="55">
        <v>55</v>
      </c>
      <c r="D8" s="150"/>
      <c r="E8" s="75">
        <f t="shared" si="1"/>
        <v>6</v>
      </c>
      <c r="F8" s="54">
        <v>6.45</v>
      </c>
      <c r="G8" s="55">
        <v>10</v>
      </c>
      <c r="H8" s="150"/>
      <c r="I8" s="75">
        <f t="shared" si="2"/>
        <v>6</v>
      </c>
      <c r="J8" s="54">
        <v>10.07</v>
      </c>
      <c r="K8" s="55">
        <v>40</v>
      </c>
      <c r="L8" s="150"/>
      <c r="M8" s="75">
        <f t="shared" si="3"/>
        <v>6</v>
      </c>
      <c r="N8" s="54">
        <v>14.58</v>
      </c>
      <c r="O8" s="55">
        <v>100</v>
      </c>
      <c r="P8" s="150"/>
      <c r="Q8" s="75">
        <f t="shared" si="4"/>
        <v>6</v>
      </c>
      <c r="R8" s="54">
        <v>15.23</v>
      </c>
      <c r="S8" s="55">
        <v>125</v>
      </c>
      <c r="T8" s="150"/>
      <c r="U8" s="75">
        <f t="shared" si="5"/>
        <v>6</v>
      </c>
      <c r="V8" s="54">
        <v>21.67</v>
      </c>
      <c r="W8" s="55">
        <v>45</v>
      </c>
      <c r="X8" s="150"/>
      <c r="Y8" s="75">
        <f t="shared" si="6"/>
        <v>6</v>
      </c>
      <c r="Z8" s="54">
        <v>11.8</v>
      </c>
      <c r="AA8" s="55">
        <v>16</v>
      </c>
      <c r="AB8" s="150"/>
      <c r="AC8" s="75">
        <f t="shared" si="7"/>
        <v>6</v>
      </c>
      <c r="AD8" s="54">
        <v>6.23</v>
      </c>
      <c r="AE8" s="55">
        <v>5</v>
      </c>
      <c r="AF8" s="150"/>
      <c r="AG8" s="75">
        <f t="shared" si="8"/>
        <v>6</v>
      </c>
      <c r="AH8" s="54">
        <v>11.15</v>
      </c>
      <c r="AI8" s="55">
        <v>40</v>
      </c>
      <c r="AJ8" s="150"/>
      <c r="AK8" s="75">
        <f t="shared" si="9"/>
        <v>6</v>
      </c>
      <c r="AL8" s="54">
        <v>52.06</v>
      </c>
      <c r="AM8" s="55">
        <v>390</v>
      </c>
      <c r="AN8" s="150"/>
      <c r="AO8" s="75">
        <f t="shared" si="10"/>
        <v>6</v>
      </c>
      <c r="AP8" s="54"/>
      <c r="AQ8" s="55"/>
      <c r="AR8" s="150"/>
      <c r="AS8" s="75">
        <f t="shared" si="11"/>
        <v>6</v>
      </c>
      <c r="AT8" s="54">
        <v>12.1</v>
      </c>
      <c r="AU8" s="55">
        <v>35</v>
      </c>
      <c r="AV8" s="150"/>
      <c r="AW8" s="67"/>
    </row>
    <row r="9" spans="1:49" s="49" customFormat="1" ht="11.25" x14ac:dyDescent="0.2">
      <c r="A9" s="73">
        <f t="shared" si="0"/>
        <v>7</v>
      </c>
      <c r="B9" s="54">
        <v>10.76</v>
      </c>
      <c r="C9" s="55">
        <v>72</v>
      </c>
      <c r="D9" s="150">
        <v>4.5138888888888888E-2</v>
      </c>
      <c r="E9" s="75">
        <f t="shared" si="1"/>
        <v>7</v>
      </c>
      <c r="F9" s="54">
        <v>10.25</v>
      </c>
      <c r="G9" s="55">
        <v>35</v>
      </c>
      <c r="H9" s="150"/>
      <c r="I9" s="75">
        <f t="shared" si="2"/>
        <v>7</v>
      </c>
      <c r="J9" s="54">
        <v>8</v>
      </c>
      <c r="K9" s="55">
        <v>15</v>
      </c>
      <c r="L9" s="150"/>
      <c r="M9" s="75">
        <f t="shared" si="3"/>
        <v>7</v>
      </c>
      <c r="N9" s="54">
        <v>10</v>
      </c>
      <c r="O9" s="55">
        <v>340</v>
      </c>
      <c r="P9" s="150"/>
      <c r="Q9" s="75">
        <f t="shared" si="4"/>
        <v>7</v>
      </c>
      <c r="R9" s="54">
        <v>18.7</v>
      </c>
      <c r="S9" s="55">
        <v>230</v>
      </c>
      <c r="T9" s="150"/>
      <c r="U9" s="75">
        <f t="shared" si="5"/>
        <v>7</v>
      </c>
      <c r="V9" s="54">
        <v>10.25</v>
      </c>
      <c r="W9" s="55">
        <v>40</v>
      </c>
      <c r="X9" s="150"/>
      <c r="Y9" s="75">
        <f t="shared" si="6"/>
        <v>7</v>
      </c>
      <c r="Z9" s="54">
        <v>23.6</v>
      </c>
      <c r="AA9" s="55">
        <v>167</v>
      </c>
      <c r="AB9" s="150"/>
      <c r="AC9" s="75">
        <f t="shared" si="7"/>
        <v>7</v>
      </c>
      <c r="AD9" s="54">
        <v>6.54</v>
      </c>
      <c r="AE9" s="55">
        <v>30</v>
      </c>
      <c r="AF9" s="150"/>
      <c r="AG9" s="75">
        <f t="shared" si="8"/>
        <v>7</v>
      </c>
      <c r="AH9" s="54">
        <v>20.100000000000001</v>
      </c>
      <c r="AI9" s="55">
        <v>60</v>
      </c>
      <c r="AJ9" s="150"/>
      <c r="AK9" s="75">
        <f t="shared" si="9"/>
        <v>7</v>
      </c>
      <c r="AL9" s="54">
        <v>15.73</v>
      </c>
      <c r="AM9" s="55">
        <v>48</v>
      </c>
      <c r="AN9" s="150"/>
      <c r="AO9" s="75">
        <f t="shared" si="10"/>
        <v>7</v>
      </c>
      <c r="AP9" s="54">
        <v>10.6</v>
      </c>
      <c r="AQ9" s="55">
        <v>350</v>
      </c>
      <c r="AR9" s="150"/>
      <c r="AS9" s="75">
        <f t="shared" si="11"/>
        <v>7</v>
      </c>
      <c r="AT9" s="54">
        <v>7.26</v>
      </c>
      <c r="AU9" s="55">
        <v>10</v>
      </c>
      <c r="AV9" s="150"/>
      <c r="AW9" s="67"/>
    </row>
    <row r="10" spans="1:49" s="49" customFormat="1" ht="11.25" x14ac:dyDescent="0.2">
      <c r="A10" s="73">
        <f t="shared" si="0"/>
        <v>8</v>
      </c>
      <c r="B10" s="54">
        <v>10.71</v>
      </c>
      <c r="C10" s="55">
        <v>30</v>
      </c>
      <c r="D10" s="150"/>
      <c r="E10" s="75">
        <f t="shared" si="1"/>
        <v>8</v>
      </c>
      <c r="F10" s="54">
        <v>10.1</v>
      </c>
      <c r="G10" s="55">
        <v>30</v>
      </c>
      <c r="H10" s="150"/>
      <c r="I10" s="75">
        <f t="shared" si="2"/>
        <v>8</v>
      </c>
      <c r="J10" s="54">
        <v>5</v>
      </c>
      <c r="K10" s="55">
        <v>3</v>
      </c>
      <c r="L10" s="150"/>
      <c r="M10" s="75">
        <f t="shared" si="3"/>
        <v>8</v>
      </c>
      <c r="N10" s="54">
        <v>56.52</v>
      </c>
      <c r="O10" s="55">
        <v>653</v>
      </c>
      <c r="P10" s="150"/>
      <c r="Q10" s="75">
        <f t="shared" si="4"/>
        <v>8</v>
      </c>
      <c r="R10" s="54">
        <v>7.5</v>
      </c>
      <c r="S10" s="55">
        <v>30</v>
      </c>
      <c r="T10" s="150"/>
      <c r="U10" s="75">
        <f t="shared" si="5"/>
        <v>8</v>
      </c>
      <c r="V10" s="54">
        <v>37.5</v>
      </c>
      <c r="W10" s="55">
        <v>70</v>
      </c>
      <c r="X10" s="150"/>
      <c r="Y10" s="75">
        <f t="shared" si="6"/>
        <v>8</v>
      </c>
      <c r="Z10" s="54">
        <v>90.490000000000009</v>
      </c>
      <c r="AA10" s="55">
        <v>951</v>
      </c>
      <c r="AB10" s="150"/>
      <c r="AC10" s="75">
        <f t="shared" si="7"/>
        <v>8</v>
      </c>
      <c r="AD10" s="54">
        <v>5.04</v>
      </c>
      <c r="AE10" s="55">
        <v>20</v>
      </c>
      <c r="AF10" s="150"/>
      <c r="AG10" s="75">
        <f t="shared" si="8"/>
        <v>8</v>
      </c>
      <c r="AH10" s="54">
        <v>53.86</v>
      </c>
      <c r="AI10" s="49">
        <v>842</v>
      </c>
      <c r="AJ10" s="150"/>
      <c r="AK10" s="75">
        <f t="shared" si="9"/>
        <v>8</v>
      </c>
      <c r="AL10" s="54">
        <v>10.67</v>
      </c>
      <c r="AM10" s="55">
        <v>53</v>
      </c>
      <c r="AN10" s="150"/>
      <c r="AO10" s="75">
        <f t="shared" si="10"/>
        <v>8</v>
      </c>
      <c r="AP10" s="54">
        <v>12.18</v>
      </c>
      <c r="AQ10" s="55">
        <v>40</v>
      </c>
      <c r="AR10" s="150"/>
      <c r="AS10" s="75">
        <f t="shared" si="11"/>
        <v>8</v>
      </c>
      <c r="AT10" s="54">
        <v>10.4</v>
      </c>
      <c r="AU10" s="55">
        <v>6</v>
      </c>
      <c r="AV10" s="150"/>
      <c r="AW10" s="67"/>
    </row>
    <row r="11" spans="1:49" s="49" customFormat="1" ht="11.25" x14ac:dyDescent="0.2">
      <c r="A11" s="73">
        <f t="shared" si="0"/>
        <v>9</v>
      </c>
      <c r="B11" s="54">
        <v>11.21</v>
      </c>
      <c r="C11" s="55">
        <v>90</v>
      </c>
      <c r="D11" s="150"/>
      <c r="E11" s="75">
        <f t="shared" si="1"/>
        <v>9</v>
      </c>
      <c r="F11" s="54">
        <v>11.14</v>
      </c>
      <c r="G11" s="55">
        <v>80</v>
      </c>
      <c r="H11" s="150"/>
      <c r="I11" s="75">
        <f t="shared" si="2"/>
        <v>9</v>
      </c>
      <c r="J11" s="54">
        <v>5.75</v>
      </c>
      <c r="K11" s="55">
        <v>3</v>
      </c>
      <c r="L11" s="150"/>
      <c r="M11" s="75">
        <f t="shared" si="3"/>
        <v>9</v>
      </c>
      <c r="N11" s="54">
        <v>10.4</v>
      </c>
      <c r="O11" s="55">
        <v>30</v>
      </c>
      <c r="P11" s="150"/>
      <c r="Q11" s="75">
        <f t="shared" si="4"/>
        <v>9</v>
      </c>
      <c r="R11" s="54">
        <v>27</v>
      </c>
      <c r="S11" s="55">
        <v>250</v>
      </c>
      <c r="T11" s="150"/>
      <c r="U11" s="75">
        <f t="shared" si="5"/>
        <v>9</v>
      </c>
      <c r="V11" s="54">
        <v>21.92</v>
      </c>
      <c r="W11" s="55">
        <v>30</v>
      </c>
      <c r="X11" s="150"/>
      <c r="Y11" s="75">
        <f t="shared" si="6"/>
        <v>9</v>
      </c>
      <c r="Z11" s="54">
        <v>6.7</v>
      </c>
      <c r="AA11" s="55">
        <v>25</v>
      </c>
      <c r="AB11" s="150"/>
      <c r="AC11" s="75">
        <f t="shared" si="7"/>
        <v>9</v>
      </c>
      <c r="AD11" s="54">
        <v>5.05</v>
      </c>
      <c r="AE11" s="55">
        <v>15</v>
      </c>
      <c r="AF11" s="150"/>
      <c r="AG11" s="75">
        <f t="shared" si="8"/>
        <v>9</v>
      </c>
      <c r="AH11" s="54"/>
      <c r="AI11" s="55"/>
      <c r="AJ11" s="150"/>
      <c r="AK11" s="75">
        <f t="shared" si="9"/>
        <v>9</v>
      </c>
      <c r="AL11" s="54"/>
      <c r="AM11" s="55"/>
      <c r="AN11" s="150"/>
      <c r="AO11" s="75">
        <f t="shared" si="10"/>
        <v>9</v>
      </c>
      <c r="AP11" s="54">
        <v>14.02</v>
      </c>
      <c r="AQ11" s="55">
        <v>50</v>
      </c>
      <c r="AR11" s="150"/>
      <c r="AS11" s="75">
        <f t="shared" si="11"/>
        <v>9</v>
      </c>
      <c r="AT11" s="54">
        <v>10.4</v>
      </c>
      <c r="AU11" s="55">
        <v>6</v>
      </c>
      <c r="AV11" s="150"/>
      <c r="AW11" s="67"/>
    </row>
    <row r="12" spans="1:49" s="49" customFormat="1" ht="11.25" x14ac:dyDescent="0.2">
      <c r="A12" s="73">
        <f t="shared" si="0"/>
        <v>10</v>
      </c>
      <c r="B12" s="54">
        <v>14.71</v>
      </c>
      <c r="C12" s="55">
        <v>155</v>
      </c>
      <c r="D12" s="150"/>
      <c r="E12" s="75">
        <f t="shared" si="1"/>
        <v>10</v>
      </c>
      <c r="F12" s="54">
        <v>23.44</v>
      </c>
      <c r="G12" s="55">
        <v>195</v>
      </c>
      <c r="H12" s="150"/>
      <c r="I12" s="75">
        <f t="shared" si="2"/>
        <v>10</v>
      </c>
      <c r="J12" s="54">
        <v>14.36</v>
      </c>
      <c r="K12" s="55">
        <v>240</v>
      </c>
      <c r="L12" s="150"/>
      <c r="M12" s="75">
        <f t="shared" si="3"/>
        <v>10</v>
      </c>
      <c r="N12" s="54">
        <v>13.33</v>
      </c>
      <c r="O12" s="55">
        <v>55</v>
      </c>
      <c r="P12" s="150"/>
      <c r="Q12" s="75">
        <f t="shared" si="4"/>
        <v>10</v>
      </c>
      <c r="R12" s="54">
        <v>66.81</v>
      </c>
      <c r="S12" s="55">
        <v>395</v>
      </c>
      <c r="T12" s="150"/>
      <c r="U12" s="75">
        <f t="shared" si="5"/>
        <v>10</v>
      </c>
      <c r="V12" s="54">
        <v>37</v>
      </c>
      <c r="W12" s="55">
        <v>910</v>
      </c>
      <c r="X12" s="150"/>
      <c r="Y12" s="75">
        <f t="shared" si="6"/>
        <v>10</v>
      </c>
      <c r="Z12" s="54"/>
      <c r="AA12" s="55"/>
      <c r="AB12" s="150"/>
      <c r="AC12" s="75">
        <f t="shared" si="7"/>
        <v>10</v>
      </c>
      <c r="AD12" s="54">
        <v>5.04</v>
      </c>
      <c r="AE12" s="55">
        <v>20</v>
      </c>
      <c r="AF12" s="150"/>
      <c r="AG12" s="75">
        <f t="shared" si="8"/>
        <v>10</v>
      </c>
      <c r="AH12" s="54">
        <v>10.15</v>
      </c>
      <c r="AI12" s="49">
        <v>25</v>
      </c>
      <c r="AJ12" s="150"/>
      <c r="AK12" s="75">
        <f t="shared" si="9"/>
        <v>10</v>
      </c>
      <c r="AL12" s="54">
        <v>18.05</v>
      </c>
      <c r="AM12" s="55">
        <v>75</v>
      </c>
      <c r="AN12" s="150"/>
      <c r="AO12" s="75">
        <f t="shared" si="10"/>
        <v>10</v>
      </c>
      <c r="AP12" s="54">
        <v>19.670000000000002</v>
      </c>
      <c r="AQ12" s="55">
        <v>357</v>
      </c>
      <c r="AR12" s="150"/>
      <c r="AS12" s="75">
        <f t="shared" si="11"/>
        <v>10</v>
      </c>
      <c r="AT12" s="54">
        <v>13.36</v>
      </c>
      <c r="AU12" s="55">
        <v>16</v>
      </c>
      <c r="AV12" s="150"/>
      <c r="AW12" s="67"/>
    </row>
    <row r="13" spans="1:49" s="49" customFormat="1" ht="11.25" x14ac:dyDescent="0.2">
      <c r="A13" s="73">
        <f t="shared" si="0"/>
        <v>11</v>
      </c>
      <c r="B13" s="54">
        <v>15.510000000000002</v>
      </c>
      <c r="C13" s="55">
        <v>120</v>
      </c>
      <c r="D13" s="150"/>
      <c r="E13" s="75">
        <f t="shared" si="1"/>
        <v>11</v>
      </c>
      <c r="F13" s="54">
        <v>24.84</v>
      </c>
      <c r="G13" s="55">
        <v>140</v>
      </c>
      <c r="H13" s="150"/>
      <c r="I13" s="75">
        <f t="shared" si="2"/>
        <v>11</v>
      </c>
      <c r="J13" s="54">
        <v>58.73</v>
      </c>
      <c r="K13" s="55">
        <v>431</v>
      </c>
      <c r="L13" s="150"/>
      <c r="M13" s="75">
        <f t="shared" si="3"/>
        <v>11</v>
      </c>
      <c r="N13" s="54">
        <v>11.3</v>
      </c>
      <c r="O13" s="55">
        <v>60</v>
      </c>
      <c r="P13" s="150"/>
      <c r="Q13" s="75">
        <f t="shared" si="4"/>
        <v>11</v>
      </c>
      <c r="R13" s="54">
        <v>11.75</v>
      </c>
      <c r="S13" s="55">
        <v>30</v>
      </c>
      <c r="T13" s="150"/>
      <c r="U13" s="75">
        <f t="shared" si="5"/>
        <v>11</v>
      </c>
      <c r="V13" s="54">
        <v>31.1</v>
      </c>
      <c r="W13" s="55">
        <v>115</v>
      </c>
      <c r="X13" s="150"/>
      <c r="Y13" s="75">
        <f t="shared" si="6"/>
        <v>11</v>
      </c>
      <c r="Z13" s="54">
        <v>10.25</v>
      </c>
      <c r="AA13" s="55">
        <v>160</v>
      </c>
      <c r="AB13" s="150"/>
      <c r="AC13" s="75">
        <f t="shared" si="7"/>
        <v>11</v>
      </c>
      <c r="AD13" s="54">
        <v>14.8</v>
      </c>
      <c r="AE13" s="55">
        <v>330</v>
      </c>
      <c r="AF13" s="150"/>
      <c r="AG13" s="75">
        <f t="shared" si="8"/>
        <v>11</v>
      </c>
      <c r="AH13" s="54">
        <v>10</v>
      </c>
      <c r="AI13" s="55">
        <v>5</v>
      </c>
      <c r="AJ13" s="150"/>
      <c r="AK13" s="75">
        <f t="shared" si="9"/>
        <v>11</v>
      </c>
      <c r="AL13" s="54">
        <v>11.02</v>
      </c>
      <c r="AM13" s="55">
        <v>200</v>
      </c>
      <c r="AN13" s="150"/>
      <c r="AO13" s="75">
        <f t="shared" si="10"/>
        <v>11</v>
      </c>
      <c r="AP13" s="54">
        <v>19.100000000000001</v>
      </c>
      <c r="AQ13" s="55">
        <v>113</v>
      </c>
      <c r="AR13" s="150"/>
      <c r="AS13" s="75">
        <f t="shared" si="11"/>
        <v>11</v>
      </c>
      <c r="AT13" s="54"/>
      <c r="AU13" s="55"/>
      <c r="AV13" s="150"/>
      <c r="AW13" s="67"/>
    </row>
    <row r="14" spans="1:49" s="49" customFormat="1" ht="11.25" x14ac:dyDescent="0.2">
      <c r="A14" s="73">
        <f t="shared" si="0"/>
        <v>12</v>
      </c>
      <c r="B14" s="54">
        <v>11.6</v>
      </c>
      <c r="C14" s="55">
        <v>45</v>
      </c>
      <c r="D14" s="150"/>
      <c r="E14" s="75">
        <f t="shared" si="1"/>
        <v>12</v>
      </c>
      <c r="F14" s="54">
        <v>13.83</v>
      </c>
      <c r="G14" s="55">
        <v>60</v>
      </c>
      <c r="H14" s="150"/>
      <c r="I14" s="75">
        <f t="shared" si="2"/>
        <v>12</v>
      </c>
      <c r="J14" s="54">
        <v>10.039999999999999</v>
      </c>
      <c r="K14" s="55">
        <v>40</v>
      </c>
      <c r="L14" s="150"/>
      <c r="M14" s="75">
        <f t="shared" si="3"/>
        <v>12</v>
      </c>
      <c r="N14" s="54">
        <v>10.55</v>
      </c>
      <c r="O14" s="55">
        <v>190</v>
      </c>
      <c r="P14" s="150"/>
      <c r="Q14" s="75">
        <f t="shared" si="4"/>
        <v>12</v>
      </c>
      <c r="R14" s="54">
        <v>18.57</v>
      </c>
      <c r="S14" s="55">
        <v>93</v>
      </c>
      <c r="T14" s="150"/>
      <c r="U14" s="75">
        <f t="shared" si="5"/>
        <v>12</v>
      </c>
      <c r="V14" s="54">
        <v>37</v>
      </c>
      <c r="W14" s="55">
        <v>910</v>
      </c>
      <c r="X14" s="150"/>
      <c r="Y14" s="75">
        <f t="shared" si="6"/>
        <v>12</v>
      </c>
      <c r="Z14" s="54">
        <v>11.66</v>
      </c>
      <c r="AA14" s="55">
        <v>105</v>
      </c>
      <c r="AB14" s="150"/>
      <c r="AC14" s="75">
        <f t="shared" si="7"/>
        <v>12</v>
      </c>
      <c r="AD14" s="54">
        <v>59.109999999999992</v>
      </c>
      <c r="AE14" s="78">
        <v>332</v>
      </c>
      <c r="AF14" s="150"/>
      <c r="AG14" s="75">
        <f t="shared" si="8"/>
        <v>12</v>
      </c>
      <c r="AH14" s="54">
        <v>10.25</v>
      </c>
      <c r="AI14" s="55">
        <v>115</v>
      </c>
      <c r="AJ14" s="150"/>
      <c r="AK14" s="75">
        <f t="shared" si="9"/>
        <v>12</v>
      </c>
      <c r="AL14" s="54">
        <v>13.8</v>
      </c>
      <c r="AM14" s="55">
        <v>170</v>
      </c>
      <c r="AN14" s="150"/>
      <c r="AO14" s="75">
        <f t="shared" si="10"/>
        <v>12</v>
      </c>
      <c r="AP14" s="54">
        <v>50</v>
      </c>
      <c r="AQ14" s="55">
        <v>50</v>
      </c>
      <c r="AR14" s="150"/>
      <c r="AS14" s="75">
        <f t="shared" si="11"/>
        <v>12</v>
      </c>
      <c r="AT14" s="54">
        <v>5.2</v>
      </c>
      <c r="AU14" s="55">
        <v>3</v>
      </c>
      <c r="AV14" s="150"/>
      <c r="AW14" s="67"/>
    </row>
    <row r="15" spans="1:49" s="49" customFormat="1" ht="11.25" x14ac:dyDescent="0.2">
      <c r="A15" s="73">
        <f t="shared" si="0"/>
        <v>13</v>
      </c>
      <c r="B15" s="54">
        <v>66.66</v>
      </c>
      <c r="C15" s="55">
        <v>130</v>
      </c>
      <c r="D15" s="150"/>
      <c r="E15" s="75">
        <f t="shared" si="1"/>
        <v>13</v>
      </c>
      <c r="F15" s="54">
        <v>16.579999999999998</v>
      </c>
      <c r="G15" s="55">
        <v>80</v>
      </c>
      <c r="H15" s="150"/>
      <c r="I15" s="75">
        <f t="shared" si="2"/>
        <v>13</v>
      </c>
      <c r="J15" s="54">
        <v>5.41</v>
      </c>
      <c r="K15" s="55">
        <v>8</v>
      </c>
      <c r="L15" s="150"/>
      <c r="M15" s="75">
        <f t="shared" si="3"/>
        <v>13</v>
      </c>
      <c r="N15" s="54"/>
      <c r="O15" s="55"/>
      <c r="P15" s="150"/>
      <c r="Q15" s="75">
        <f t="shared" si="4"/>
        <v>13</v>
      </c>
      <c r="R15" s="54">
        <v>36.92</v>
      </c>
      <c r="S15" s="55">
        <v>203</v>
      </c>
      <c r="T15" s="150"/>
      <c r="U15" s="75">
        <f t="shared" si="5"/>
        <v>13</v>
      </c>
      <c r="V15" s="54"/>
      <c r="W15" s="55"/>
      <c r="X15" s="150"/>
      <c r="Y15" s="75">
        <f t="shared" si="6"/>
        <v>13</v>
      </c>
      <c r="Z15" s="54">
        <v>11.4</v>
      </c>
      <c r="AA15" s="55">
        <v>85</v>
      </c>
      <c r="AB15" s="150"/>
      <c r="AC15" s="75">
        <f t="shared" si="7"/>
        <v>13</v>
      </c>
      <c r="AD15" s="54">
        <v>5.22</v>
      </c>
      <c r="AE15" s="55">
        <v>3</v>
      </c>
      <c r="AF15" s="150"/>
      <c r="AG15" s="75">
        <f t="shared" si="8"/>
        <v>13</v>
      </c>
      <c r="AH15" s="54">
        <v>5.14</v>
      </c>
      <c r="AI15" s="55">
        <v>3</v>
      </c>
      <c r="AJ15" s="150"/>
      <c r="AK15" s="75">
        <f t="shared" si="9"/>
        <v>13</v>
      </c>
      <c r="AL15" s="54">
        <v>52.8</v>
      </c>
      <c r="AM15" s="55">
        <v>436</v>
      </c>
      <c r="AN15" s="150"/>
      <c r="AO15" s="75">
        <f t="shared" si="10"/>
        <v>13</v>
      </c>
      <c r="AP15" s="54">
        <v>10.17</v>
      </c>
      <c r="AQ15" s="55">
        <v>30</v>
      </c>
      <c r="AR15" s="150"/>
      <c r="AS15" s="75">
        <f t="shared" si="11"/>
        <v>13</v>
      </c>
      <c r="AT15" s="54">
        <v>7</v>
      </c>
      <c r="AU15" s="55">
        <v>10</v>
      </c>
      <c r="AV15" s="150"/>
      <c r="AW15" s="67"/>
    </row>
    <row r="16" spans="1:49" s="49" customFormat="1" ht="11.25" x14ac:dyDescent="0.2">
      <c r="A16" s="73">
        <f t="shared" si="0"/>
        <v>14</v>
      </c>
      <c r="B16" s="54">
        <v>16.75</v>
      </c>
      <c r="C16" s="55">
        <v>55</v>
      </c>
      <c r="D16" s="150"/>
      <c r="E16" s="75">
        <f t="shared" si="1"/>
        <v>14</v>
      </c>
      <c r="F16" s="54">
        <v>13.22</v>
      </c>
      <c r="G16" s="55">
        <v>75</v>
      </c>
      <c r="H16" s="150"/>
      <c r="I16" s="75">
        <f t="shared" si="2"/>
        <v>14</v>
      </c>
      <c r="J16" s="54">
        <v>5.41</v>
      </c>
      <c r="K16" s="55">
        <v>8</v>
      </c>
      <c r="L16" s="150"/>
      <c r="M16" s="75">
        <f t="shared" si="3"/>
        <v>14</v>
      </c>
      <c r="N16" s="54">
        <v>39.39</v>
      </c>
      <c r="O16" s="55">
        <v>373</v>
      </c>
      <c r="P16" s="150"/>
      <c r="Q16" s="75">
        <f t="shared" si="4"/>
        <v>14</v>
      </c>
      <c r="R16" s="54">
        <v>14.4</v>
      </c>
      <c r="S16" s="49">
        <v>45</v>
      </c>
      <c r="T16" s="150"/>
      <c r="U16" s="75">
        <f t="shared" si="5"/>
        <v>14</v>
      </c>
      <c r="V16" s="54">
        <v>24</v>
      </c>
      <c r="W16" s="55">
        <v>130</v>
      </c>
      <c r="X16" s="150"/>
      <c r="Y16" s="75">
        <f t="shared" si="6"/>
        <v>14</v>
      </c>
      <c r="Z16" s="54">
        <v>24.14</v>
      </c>
      <c r="AA16" s="55">
        <v>150</v>
      </c>
      <c r="AB16" s="150"/>
      <c r="AC16" s="75">
        <f t="shared" si="7"/>
        <v>14</v>
      </c>
      <c r="AD16" s="54">
        <v>5.5</v>
      </c>
      <c r="AE16" s="55">
        <v>5</v>
      </c>
      <c r="AF16" s="150">
        <v>1.0416666666666666E-2</v>
      </c>
      <c r="AG16" s="75">
        <f t="shared" si="8"/>
        <v>14</v>
      </c>
      <c r="AH16" s="54">
        <v>10</v>
      </c>
      <c r="AI16" s="55">
        <v>5</v>
      </c>
      <c r="AJ16" s="150"/>
      <c r="AK16" s="75">
        <f t="shared" si="9"/>
        <v>14</v>
      </c>
      <c r="AL16" s="54">
        <v>21.46</v>
      </c>
      <c r="AM16" s="55">
        <v>135</v>
      </c>
      <c r="AN16" s="150"/>
      <c r="AO16" s="75">
        <f t="shared" si="10"/>
        <v>14</v>
      </c>
      <c r="AP16" s="54">
        <v>5.2</v>
      </c>
      <c r="AQ16" s="55">
        <v>3</v>
      </c>
      <c r="AR16" s="150"/>
      <c r="AS16" s="75">
        <f t="shared" si="11"/>
        <v>14</v>
      </c>
      <c r="AT16" s="54">
        <v>13</v>
      </c>
      <c r="AU16" s="55">
        <v>40</v>
      </c>
      <c r="AV16" s="150"/>
      <c r="AW16" s="67"/>
    </row>
    <row r="17" spans="1:49" s="49" customFormat="1" ht="11.25" x14ac:dyDescent="0.2">
      <c r="A17" s="73">
        <f t="shared" si="0"/>
        <v>15</v>
      </c>
      <c r="B17" s="54">
        <v>10.199999999999999</v>
      </c>
      <c r="C17" s="55">
        <v>30</v>
      </c>
      <c r="D17" s="150"/>
      <c r="E17" s="75">
        <f t="shared" si="1"/>
        <v>15</v>
      </c>
      <c r="F17" s="54">
        <v>5.75</v>
      </c>
      <c r="G17" s="55">
        <v>10</v>
      </c>
      <c r="H17" s="150"/>
      <c r="I17" s="75">
        <f t="shared" si="2"/>
        <v>15</v>
      </c>
      <c r="J17" s="54">
        <v>7.85</v>
      </c>
      <c r="K17" s="55">
        <v>73</v>
      </c>
      <c r="L17" s="150"/>
      <c r="M17" s="75">
        <f t="shared" si="3"/>
        <v>15</v>
      </c>
      <c r="N17" s="54">
        <v>29.119999999999997</v>
      </c>
      <c r="O17" s="55">
        <v>468</v>
      </c>
      <c r="P17" s="150"/>
      <c r="Q17" s="75">
        <f t="shared" si="4"/>
        <v>15</v>
      </c>
      <c r="R17" s="54">
        <v>7.63</v>
      </c>
      <c r="S17" s="49">
        <v>20</v>
      </c>
      <c r="T17" s="150"/>
      <c r="U17" s="75">
        <f t="shared" si="5"/>
        <v>15</v>
      </c>
      <c r="V17" s="54"/>
      <c r="W17" s="55"/>
      <c r="X17" s="150"/>
      <c r="Y17" s="75">
        <f t="shared" si="6"/>
        <v>15</v>
      </c>
      <c r="Z17" s="54">
        <v>17.05</v>
      </c>
      <c r="AA17" s="55">
        <v>124</v>
      </c>
      <c r="AB17" s="150"/>
      <c r="AC17" s="75">
        <f t="shared" si="7"/>
        <v>15</v>
      </c>
      <c r="AD17" s="54">
        <v>43.9</v>
      </c>
      <c r="AE17" s="55">
        <v>980</v>
      </c>
      <c r="AF17" s="150"/>
      <c r="AG17" s="75">
        <f t="shared" si="8"/>
        <v>15</v>
      </c>
      <c r="AH17" s="54">
        <v>31.700000000000003</v>
      </c>
      <c r="AI17" s="55">
        <v>383</v>
      </c>
      <c r="AJ17" s="150"/>
      <c r="AK17" s="75">
        <f t="shared" si="9"/>
        <v>15</v>
      </c>
      <c r="AL17" s="54">
        <v>10.9</v>
      </c>
      <c r="AM17" s="55">
        <v>5</v>
      </c>
      <c r="AN17" s="150"/>
      <c r="AO17" s="75">
        <f t="shared" si="10"/>
        <v>15</v>
      </c>
      <c r="AP17" s="54">
        <v>11.3</v>
      </c>
      <c r="AQ17" s="55">
        <v>45</v>
      </c>
      <c r="AR17" s="150"/>
      <c r="AS17" s="75">
        <f t="shared" si="11"/>
        <v>15</v>
      </c>
      <c r="AT17" s="54">
        <v>31.21</v>
      </c>
      <c r="AU17" s="55">
        <v>146</v>
      </c>
      <c r="AV17" s="150"/>
      <c r="AW17" s="67"/>
    </row>
    <row r="18" spans="1:49" s="49" customFormat="1" ht="11.25" x14ac:dyDescent="0.2">
      <c r="A18" s="73">
        <f t="shared" si="0"/>
        <v>16</v>
      </c>
      <c r="B18" s="54"/>
      <c r="C18" s="55"/>
      <c r="D18" s="150">
        <v>1.0416666666666666E-2</v>
      </c>
      <c r="E18" s="75">
        <f t="shared" si="1"/>
        <v>16</v>
      </c>
      <c r="F18" s="54">
        <v>11.22</v>
      </c>
      <c r="G18" s="55">
        <v>20</v>
      </c>
      <c r="H18" s="150"/>
      <c r="I18" s="75">
        <f t="shared" si="2"/>
        <v>16</v>
      </c>
      <c r="J18" s="54">
        <v>5.2</v>
      </c>
      <c r="K18" s="55">
        <v>3</v>
      </c>
      <c r="L18" s="150"/>
      <c r="M18" s="75">
        <f t="shared" si="3"/>
        <v>16</v>
      </c>
      <c r="N18" s="54">
        <v>7.62</v>
      </c>
      <c r="O18" s="55">
        <v>30</v>
      </c>
      <c r="P18" s="150"/>
      <c r="Q18" s="75">
        <f t="shared" si="4"/>
        <v>16</v>
      </c>
      <c r="R18" s="54">
        <v>5.18</v>
      </c>
      <c r="S18" s="55">
        <v>3</v>
      </c>
      <c r="T18" s="150"/>
      <c r="U18" s="75">
        <f t="shared" si="5"/>
        <v>16</v>
      </c>
      <c r="V18" s="54">
        <v>40</v>
      </c>
      <c r="W18" s="55">
        <v>1500</v>
      </c>
      <c r="X18" s="150"/>
      <c r="Y18" s="75">
        <f t="shared" si="6"/>
        <v>16</v>
      </c>
      <c r="Z18" s="54">
        <v>8.3000000000000007</v>
      </c>
      <c r="AA18" s="55">
        <v>25</v>
      </c>
      <c r="AB18" s="150"/>
      <c r="AC18" s="75">
        <f t="shared" si="7"/>
        <v>16</v>
      </c>
      <c r="AD18" s="54">
        <v>5.15</v>
      </c>
      <c r="AE18" s="55">
        <v>3</v>
      </c>
      <c r="AF18" s="150"/>
      <c r="AG18" s="75">
        <f t="shared" si="8"/>
        <v>16</v>
      </c>
      <c r="AH18" s="54">
        <v>57.620000000000005</v>
      </c>
      <c r="AI18" s="55">
        <v>390</v>
      </c>
      <c r="AJ18" s="150"/>
      <c r="AK18" s="75">
        <f t="shared" si="9"/>
        <v>16</v>
      </c>
      <c r="AL18" s="54">
        <v>17.170000000000002</v>
      </c>
      <c r="AM18" s="55">
        <v>200</v>
      </c>
      <c r="AN18" s="150"/>
      <c r="AO18" s="75">
        <f t="shared" si="10"/>
        <v>16</v>
      </c>
      <c r="AP18" s="54">
        <v>5.2</v>
      </c>
      <c r="AQ18" s="55">
        <v>3</v>
      </c>
      <c r="AR18" s="150"/>
      <c r="AS18" s="75">
        <f t="shared" si="11"/>
        <v>16</v>
      </c>
      <c r="AT18" s="54">
        <v>10.3</v>
      </c>
      <c r="AU18" s="55">
        <v>30</v>
      </c>
      <c r="AV18" s="150">
        <v>1.0416666666666666E-2</v>
      </c>
      <c r="AW18" s="67"/>
    </row>
    <row r="19" spans="1:49" s="49" customFormat="1" ht="11.25" x14ac:dyDescent="0.2">
      <c r="A19" s="73">
        <f t="shared" si="0"/>
        <v>17</v>
      </c>
      <c r="B19" s="54">
        <v>11.2</v>
      </c>
      <c r="C19" s="55">
        <v>35</v>
      </c>
      <c r="D19" s="150"/>
      <c r="E19" s="75">
        <f t="shared" si="1"/>
        <v>17</v>
      </c>
      <c r="F19" s="54">
        <v>20.71</v>
      </c>
      <c r="G19" s="55">
        <v>125</v>
      </c>
      <c r="H19" s="150"/>
      <c r="I19" s="75">
        <f t="shared" si="2"/>
        <v>17</v>
      </c>
      <c r="J19" s="54">
        <v>15.95</v>
      </c>
      <c r="K19" s="55">
        <v>103</v>
      </c>
      <c r="L19" s="150"/>
      <c r="M19" s="75">
        <f t="shared" si="3"/>
        <v>17</v>
      </c>
      <c r="N19" s="54">
        <v>13.22</v>
      </c>
      <c r="O19" s="55">
        <v>120</v>
      </c>
      <c r="P19" s="150"/>
      <c r="Q19" s="75">
        <f t="shared" si="4"/>
        <v>17</v>
      </c>
      <c r="R19" s="54">
        <v>11.9</v>
      </c>
      <c r="S19" s="55">
        <v>150</v>
      </c>
      <c r="T19" s="150"/>
      <c r="U19" s="75">
        <f t="shared" si="5"/>
        <v>17</v>
      </c>
      <c r="V19" s="54"/>
      <c r="W19" s="55"/>
      <c r="X19" s="150"/>
      <c r="Y19" s="75">
        <f t="shared" si="6"/>
        <v>17</v>
      </c>
      <c r="Z19" s="54">
        <v>10.199999999999999</v>
      </c>
      <c r="AA19" s="55">
        <v>25</v>
      </c>
      <c r="AB19" s="150"/>
      <c r="AC19" s="75">
        <f t="shared" si="7"/>
        <v>17</v>
      </c>
      <c r="AD19" s="54">
        <v>10.07</v>
      </c>
      <c r="AE19" s="55">
        <v>80</v>
      </c>
      <c r="AF19" s="150"/>
      <c r="AG19" s="75">
        <f t="shared" si="8"/>
        <v>17</v>
      </c>
      <c r="AH19" s="54">
        <v>11.08</v>
      </c>
      <c r="AI19" s="55">
        <v>5</v>
      </c>
      <c r="AJ19" s="150"/>
      <c r="AK19" s="75">
        <f t="shared" si="9"/>
        <v>17</v>
      </c>
      <c r="AL19" s="54">
        <v>10.61</v>
      </c>
      <c r="AM19" s="55">
        <v>20</v>
      </c>
      <c r="AN19" s="150"/>
      <c r="AO19" s="75">
        <f t="shared" si="10"/>
        <v>17</v>
      </c>
      <c r="AP19" s="54">
        <v>25.66</v>
      </c>
      <c r="AQ19" s="55">
        <v>60</v>
      </c>
      <c r="AR19" s="150">
        <v>1.7361111111111112E-2</v>
      </c>
      <c r="AS19" s="75">
        <f t="shared" si="11"/>
        <v>17</v>
      </c>
      <c r="AT19" s="54">
        <v>16</v>
      </c>
      <c r="AU19" s="55">
        <v>30</v>
      </c>
      <c r="AV19" s="150"/>
      <c r="AW19" s="67"/>
    </row>
    <row r="20" spans="1:49" s="49" customFormat="1" ht="11.25" x14ac:dyDescent="0.2">
      <c r="A20" s="73">
        <f t="shared" si="0"/>
        <v>18</v>
      </c>
      <c r="B20" s="54">
        <v>6.56</v>
      </c>
      <c r="C20" s="55">
        <v>10</v>
      </c>
      <c r="D20" s="150"/>
      <c r="E20" s="75">
        <f t="shared" si="1"/>
        <v>18</v>
      </c>
      <c r="F20" s="54">
        <v>16.8</v>
      </c>
      <c r="G20" s="55">
        <v>130</v>
      </c>
      <c r="H20" s="150">
        <v>1.0416666666666666E-2</v>
      </c>
      <c r="I20" s="75">
        <f t="shared" si="2"/>
        <v>18</v>
      </c>
      <c r="J20" s="54">
        <v>10.5</v>
      </c>
      <c r="K20" s="55">
        <v>6</v>
      </c>
      <c r="L20" s="150"/>
      <c r="M20" s="75">
        <f t="shared" si="3"/>
        <v>18</v>
      </c>
      <c r="N20" s="54">
        <v>12.86</v>
      </c>
      <c r="O20" s="55">
        <v>135</v>
      </c>
      <c r="P20" s="150"/>
      <c r="Q20" s="75">
        <f t="shared" si="4"/>
        <v>18</v>
      </c>
      <c r="R20" s="54">
        <v>11.61</v>
      </c>
      <c r="S20" s="55">
        <v>120</v>
      </c>
      <c r="T20" s="150"/>
      <c r="U20" s="75">
        <f t="shared" si="5"/>
        <v>18</v>
      </c>
      <c r="V20" s="54">
        <v>26</v>
      </c>
      <c r="W20" s="55">
        <v>610</v>
      </c>
      <c r="X20" s="150"/>
      <c r="Y20" s="75">
        <f t="shared" si="6"/>
        <v>18</v>
      </c>
      <c r="Z20" s="54">
        <v>11.48</v>
      </c>
      <c r="AA20" s="55">
        <v>85</v>
      </c>
      <c r="AB20" s="150"/>
      <c r="AC20" s="75">
        <f t="shared" si="7"/>
        <v>18</v>
      </c>
      <c r="AD20" s="54">
        <v>50.96</v>
      </c>
      <c r="AE20" s="55">
        <v>609</v>
      </c>
      <c r="AF20" s="150"/>
      <c r="AG20" s="75">
        <f t="shared" si="8"/>
        <v>18</v>
      </c>
      <c r="AH20" s="54">
        <v>11.78</v>
      </c>
      <c r="AI20" s="55">
        <v>6</v>
      </c>
      <c r="AJ20" s="150"/>
      <c r="AK20" s="75">
        <f t="shared" si="9"/>
        <v>18</v>
      </c>
      <c r="AL20" s="54">
        <v>16.75</v>
      </c>
      <c r="AM20" s="55">
        <v>200</v>
      </c>
      <c r="AN20" s="150"/>
      <c r="AO20" s="75">
        <f t="shared" si="10"/>
        <v>18</v>
      </c>
      <c r="AP20" s="54">
        <v>20.93</v>
      </c>
      <c r="AQ20" s="55">
        <v>130</v>
      </c>
      <c r="AR20" s="150"/>
      <c r="AS20" s="75">
        <f t="shared" si="11"/>
        <v>18</v>
      </c>
      <c r="AT20" s="54">
        <v>12.07</v>
      </c>
      <c r="AU20" s="55">
        <v>100</v>
      </c>
      <c r="AV20" s="150"/>
      <c r="AW20" s="67"/>
    </row>
    <row r="21" spans="1:49" s="49" customFormat="1" ht="11.25" x14ac:dyDescent="0.2">
      <c r="A21" s="73">
        <f t="shared" si="0"/>
        <v>19</v>
      </c>
      <c r="B21" s="54">
        <v>8.5</v>
      </c>
      <c r="C21" s="55">
        <v>180</v>
      </c>
      <c r="D21" s="150"/>
      <c r="E21" s="75">
        <f t="shared" si="1"/>
        <v>19</v>
      </c>
      <c r="F21" s="54">
        <v>7.84</v>
      </c>
      <c r="G21" s="55">
        <v>10</v>
      </c>
      <c r="H21" s="150"/>
      <c r="I21" s="75">
        <f t="shared" si="2"/>
        <v>19</v>
      </c>
      <c r="J21" s="54">
        <v>10.199999999999999</v>
      </c>
      <c r="K21" s="55">
        <v>5</v>
      </c>
      <c r="L21" s="150"/>
      <c r="M21" s="75">
        <f t="shared" si="3"/>
        <v>19</v>
      </c>
      <c r="N21" s="54">
        <v>10</v>
      </c>
      <c r="O21" s="55">
        <v>340</v>
      </c>
      <c r="P21" s="150"/>
      <c r="Q21" s="75">
        <f t="shared" si="4"/>
        <v>19</v>
      </c>
      <c r="R21" s="54"/>
      <c r="S21" s="55"/>
      <c r="T21" s="150"/>
      <c r="U21" s="75">
        <f t="shared" si="5"/>
        <v>19</v>
      </c>
      <c r="V21" s="54"/>
      <c r="W21" s="55"/>
      <c r="X21" s="150"/>
      <c r="Y21" s="75">
        <f t="shared" si="6"/>
        <v>19</v>
      </c>
      <c r="Z21" s="54">
        <v>17.43</v>
      </c>
      <c r="AA21" s="55">
        <v>80</v>
      </c>
      <c r="AB21" s="150"/>
      <c r="AC21" s="75">
        <f t="shared" si="7"/>
        <v>19</v>
      </c>
      <c r="AD21" s="54">
        <v>23.47</v>
      </c>
      <c r="AE21" s="55">
        <v>160</v>
      </c>
      <c r="AF21" s="150"/>
      <c r="AG21" s="75">
        <f t="shared" si="8"/>
        <v>19</v>
      </c>
      <c r="AH21" s="54">
        <v>12.41</v>
      </c>
      <c r="AI21" s="55">
        <v>40</v>
      </c>
      <c r="AJ21" s="150"/>
      <c r="AK21" s="75">
        <f t="shared" si="9"/>
        <v>19</v>
      </c>
      <c r="AL21" s="54">
        <v>14.36</v>
      </c>
      <c r="AM21" s="55">
        <v>343</v>
      </c>
      <c r="AN21" s="150"/>
      <c r="AO21" s="75">
        <f t="shared" si="10"/>
        <v>19</v>
      </c>
      <c r="AP21" s="54">
        <v>11.4</v>
      </c>
      <c r="AQ21" s="55">
        <v>33</v>
      </c>
      <c r="AR21" s="150"/>
      <c r="AS21" s="75">
        <f t="shared" si="11"/>
        <v>19</v>
      </c>
      <c r="AT21" s="54">
        <v>7.89</v>
      </c>
      <c r="AU21" s="55">
        <v>15</v>
      </c>
      <c r="AV21" s="150"/>
      <c r="AW21" s="67"/>
    </row>
    <row r="22" spans="1:49" s="49" customFormat="1" ht="11.25" x14ac:dyDescent="0.2">
      <c r="A22" s="73">
        <f t="shared" si="0"/>
        <v>20</v>
      </c>
      <c r="B22" s="54">
        <v>15.139999999999999</v>
      </c>
      <c r="C22" s="55">
        <v>244</v>
      </c>
      <c r="D22" s="150"/>
      <c r="E22" s="75">
        <f t="shared" si="1"/>
        <v>20</v>
      </c>
      <c r="F22" s="54">
        <v>10.219999999999999</v>
      </c>
      <c r="G22" s="55">
        <v>40</v>
      </c>
      <c r="H22" s="150"/>
      <c r="I22" s="75">
        <f t="shared" si="2"/>
        <v>20</v>
      </c>
      <c r="J22" s="54">
        <v>10.08</v>
      </c>
      <c r="K22" s="55">
        <v>45</v>
      </c>
      <c r="L22" s="150"/>
      <c r="M22" s="75">
        <f t="shared" si="3"/>
        <v>20</v>
      </c>
      <c r="N22" s="54">
        <v>10</v>
      </c>
      <c r="O22" s="55">
        <v>340</v>
      </c>
      <c r="P22" s="150"/>
      <c r="Q22" s="75">
        <f t="shared" si="4"/>
        <v>20</v>
      </c>
      <c r="R22" s="54">
        <v>20.03</v>
      </c>
      <c r="S22" s="55">
        <v>368</v>
      </c>
      <c r="T22" s="150"/>
      <c r="U22" s="75">
        <f t="shared" si="5"/>
        <v>20</v>
      </c>
      <c r="V22" s="54">
        <v>57.2</v>
      </c>
      <c r="W22" s="55">
        <v>750</v>
      </c>
      <c r="X22" s="150"/>
      <c r="Y22" s="75">
        <f t="shared" si="6"/>
        <v>20</v>
      </c>
      <c r="Z22" s="54">
        <v>10.050000000000001</v>
      </c>
      <c r="AA22" s="55">
        <v>115</v>
      </c>
      <c r="AB22" s="150"/>
      <c r="AC22" s="75">
        <f t="shared" si="7"/>
        <v>20</v>
      </c>
      <c r="AD22" s="54"/>
      <c r="AE22" s="55"/>
      <c r="AF22" s="150"/>
      <c r="AG22" s="75">
        <f t="shared" si="8"/>
        <v>20</v>
      </c>
      <c r="AH22" s="54">
        <v>24.66</v>
      </c>
      <c r="AI22" s="55">
        <v>25</v>
      </c>
      <c r="AJ22" s="150"/>
      <c r="AK22" s="75">
        <f t="shared" si="9"/>
        <v>20</v>
      </c>
      <c r="AL22" s="54">
        <v>41.43</v>
      </c>
      <c r="AM22" s="55">
        <v>408</v>
      </c>
      <c r="AN22" s="150"/>
      <c r="AO22" s="75">
        <f t="shared" si="10"/>
        <v>20</v>
      </c>
      <c r="AP22" s="54">
        <v>5.2</v>
      </c>
      <c r="AQ22" s="55">
        <v>3</v>
      </c>
      <c r="AR22" s="150"/>
      <c r="AS22" s="75">
        <f t="shared" si="11"/>
        <v>20</v>
      </c>
      <c r="AT22" s="54">
        <v>5.5</v>
      </c>
      <c r="AU22" s="55">
        <v>8</v>
      </c>
      <c r="AV22" s="150"/>
      <c r="AW22" s="67"/>
    </row>
    <row r="23" spans="1:49" s="49" customFormat="1" ht="11.25" x14ac:dyDescent="0.2">
      <c r="A23" s="73">
        <f t="shared" si="0"/>
        <v>21</v>
      </c>
      <c r="B23" s="54">
        <v>13.96</v>
      </c>
      <c r="C23" s="55">
        <v>140</v>
      </c>
      <c r="D23" s="150">
        <v>4.8611111111111112E-2</v>
      </c>
      <c r="E23" s="75">
        <f t="shared" si="1"/>
        <v>21</v>
      </c>
      <c r="F23" s="54">
        <v>10.61</v>
      </c>
      <c r="G23" s="55">
        <v>50</v>
      </c>
      <c r="H23" s="150"/>
      <c r="I23" s="75">
        <f t="shared" si="2"/>
        <v>21</v>
      </c>
      <c r="J23" s="54">
        <v>14.08</v>
      </c>
      <c r="K23" s="55">
        <v>46</v>
      </c>
      <c r="L23" s="150"/>
      <c r="M23" s="75">
        <f t="shared" si="3"/>
        <v>21</v>
      </c>
      <c r="N23" s="54">
        <v>82</v>
      </c>
      <c r="O23" s="55">
        <v>2147</v>
      </c>
      <c r="P23" s="150"/>
      <c r="Q23" s="75">
        <f t="shared" si="4"/>
        <v>21</v>
      </c>
      <c r="R23" s="54">
        <v>61.789999999999992</v>
      </c>
      <c r="S23" s="55">
        <v>450</v>
      </c>
      <c r="T23" s="150"/>
      <c r="U23" s="75">
        <f t="shared" si="5"/>
        <v>21</v>
      </c>
      <c r="V23" s="54">
        <v>14.5</v>
      </c>
      <c r="W23" s="55">
        <v>320</v>
      </c>
      <c r="X23" s="150"/>
      <c r="Y23" s="75">
        <f t="shared" si="6"/>
        <v>21</v>
      </c>
      <c r="Z23" s="54">
        <v>55.230000000000004</v>
      </c>
      <c r="AA23" s="55">
        <v>353</v>
      </c>
      <c r="AB23" s="150"/>
      <c r="AC23" s="75">
        <f t="shared" si="7"/>
        <v>21</v>
      </c>
      <c r="AD23" s="54">
        <v>7.28</v>
      </c>
      <c r="AE23" s="55">
        <v>10</v>
      </c>
      <c r="AF23" s="150"/>
      <c r="AG23" s="75">
        <f t="shared" si="8"/>
        <v>21</v>
      </c>
      <c r="AH23" s="54">
        <v>10.9</v>
      </c>
      <c r="AI23" s="55">
        <v>30</v>
      </c>
      <c r="AJ23" s="150"/>
      <c r="AK23" s="75">
        <f t="shared" si="9"/>
        <v>21</v>
      </c>
      <c r="AL23" s="54">
        <v>46.81</v>
      </c>
      <c r="AM23" s="55">
        <v>338</v>
      </c>
      <c r="AN23" s="150">
        <v>1.3888888888888888E-2</v>
      </c>
      <c r="AO23" s="75">
        <f t="shared" si="10"/>
        <v>21</v>
      </c>
      <c r="AP23" s="54">
        <v>10</v>
      </c>
      <c r="AQ23" s="55">
        <v>35</v>
      </c>
      <c r="AR23" s="150"/>
      <c r="AS23" s="75">
        <f t="shared" si="11"/>
        <v>21</v>
      </c>
      <c r="AT23" s="54">
        <v>10.14</v>
      </c>
      <c r="AU23" s="55">
        <v>20</v>
      </c>
      <c r="AV23" s="150"/>
      <c r="AW23" s="67"/>
    </row>
    <row r="24" spans="1:49" s="49" customFormat="1" ht="11.25" x14ac:dyDescent="0.2">
      <c r="A24" s="73">
        <f t="shared" si="0"/>
        <v>22</v>
      </c>
      <c r="B24" s="54">
        <v>8.1</v>
      </c>
      <c r="C24" s="55">
        <v>30</v>
      </c>
      <c r="D24" s="150">
        <v>3.125E-2</v>
      </c>
      <c r="E24" s="75">
        <f t="shared" si="1"/>
        <v>22</v>
      </c>
      <c r="F24" s="54">
        <v>11.04</v>
      </c>
      <c r="G24" s="55">
        <v>50</v>
      </c>
      <c r="H24" s="150"/>
      <c r="I24" s="75">
        <f t="shared" si="2"/>
        <v>22</v>
      </c>
      <c r="J24" s="54">
        <v>15.95</v>
      </c>
      <c r="K24" s="55">
        <v>103</v>
      </c>
      <c r="L24" s="150"/>
      <c r="M24" s="75">
        <f t="shared" si="3"/>
        <v>22</v>
      </c>
      <c r="N24" s="49">
        <v>34.67</v>
      </c>
      <c r="O24" s="49">
        <v>283</v>
      </c>
      <c r="P24" s="150"/>
      <c r="Q24" s="75">
        <f t="shared" si="4"/>
        <v>22</v>
      </c>
      <c r="R24" s="54">
        <v>5.16</v>
      </c>
      <c r="S24" s="49">
        <v>15</v>
      </c>
      <c r="T24" s="150"/>
      <c r="U24" s="75">
        <f t="shared" si="5"/>
        <v>22</v>
      </c>
      <c r="V24" s="54"/>
      <c r="W24" s="55"/>
      <c r="X24" s="150"/>
      <c r="Y24" s="75">
        <f t="shared" si="6"/>
        <v>22</v>
      </c>
      <c r="Z24" s="54">
        <v>10.050000000000001</v>
      </c>
      <c r="AA24" s="55">
        <v>40</v>
      </c>
      <c r="AB24" s="150"/>
      <c r="AC24" s="75">
        <f t="shared" si="7"/>
        <v>22</v>
      </c>
      <c r="AD24" s="54">
        <v>5.05</v>
      </c>
      <c r="AE24" s="55">
        <v>20</v>
      </c>
      <c r="AF24" s="150"/>
      <c r="AG24" s="75">
        <f t="shared" si="8"/>
        <v>22</v>
      </c>
      <c r="AH24" s="54">
        <v>15.9</v>
      </c>
      <c r="AI24" s="55">
        <v>103</v>
      </c>
      <c r="AJ24" s="150"/>
      <c r="AK24" s="75">
        <f t="shared" si="9"/>
        <v>22</v>
      </c>
      <c r="AL24" s="54">
        <v>5.15</v>
      </c>
      <c r="AM24" s="55">
        <v>3</v>
      </c>
      <c r="AN24" s="150"/>
      <c r="AO24" s="75">
        <f t="shared" si="10"/>
        <v>22</v>
      </c>
      <c r="AP24" s="54">
        <v>10</v>
      </c>
      <c r="AQ24" s="55">
        <v>30</v>
      </c>
      <c r="AR24" s="150"/>
      <c r="AS24" s="75">
        <f t="shared" si="11"/>
        <v>22</v>
      </c>
      <c r="AT24" s="54">
        <v>23.13</v>
      </c>
      <c r="AU24" s="55">
        <v>75</v>
      </c>
      <c r="AV24" s="150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50"/>
      <c r="E25" s="75">
        <f t="shared" si="1"/>
        <v>23</v>
      </c>
      <c r="F25" s="54">
        <v>11.31</v>
      </c>
      <c r="G25" s="55">
        <v>50</v>
      </c>
      <c r="H25" s="150"/>
      <c r="I25" s="75">
        <f t="shared" si="2"/>
        <v>23</v>
      </c>
      <c r="J25" s="54">
        <v>17.18</v>
      </c>
      <c r="K25" s="55">
        <v>63</v>
      </c>
      <c r="L25" s="150"/>
      <c r="M25" s="75">
        <f t="shared" si="3"/>
        <v>23</v>
      </c>
      <c r="N25" s="54">
        <v>11.02</v>
      </c>
      <c r="O25" s="55">
        <v>15</v>
      </c>
      <c r="P25" s="150"/>
      <c r="Q25" s="75">
        <f t="shared" si="4"/>
        <v>23</v>
      </c>
      <c r="R25" s="54">
        <v>13.53</v>
      </c>
      <c r="S25" s="55">
        <v>20</v>
      </c>
      <c r="T25" s="150"/>
      <c r="U25" s="75">
        <f t="shared" si="5"/>
        <v>23</v>
      </c>
      <c r="V25" s="54"/>
      <c r="W25" s="55"/>
      <c r="X25" s="150"/>
      <c r="Y25" s="75">
        <f t="shared" si="6"/>
        <v>23</v>
      </c>
      <c r="Z25" s="54">
        <v>10.43</v>
      </c>
      <c r="AA25" s="55">
        <v>10</v>
      </c>
      <c r="AB25" s="150"/>
      <c r="AC25" s="75">
        <f t="shared" si="7"/>
        <v>23</v>
      </c>
      <c r="AD25" s="54">
        <v>5.12</v>
      </c>
      <c r="AE25" s="55">
        <v>3</v>
      </c>
      <c r="AF25" s="150"/>
      <c r="AG25" s="75">
        <f t="shared" si="8"/>
        <v>23</v>
      </c>
      <c r="AH25" s="54">
        <v>5.15</v>
      </c>
      <c r="AI25" s="55">
        <v>3</v>
      </c>
      <c r="AJ25" s="150"/>
      <c r="AK25" s="75">
        <f t="shared" si="9"/>
        <v>23</v>
      </c>
      <c r="AL25" s="54">
        <v>6</v>
      </c>
      <c r="AM25" s="55">
        <v>5</v>
      </c>
      <c r="AN25" s="150"/>
      <c r="AO25" s="75">
        <f t="shared" si="10"/>
        <v>23</v>
      </c>
      <c r="AP25" s="54">
        <v>11</v>
      </c>
      <c r="AQ25" s="55">
        <v>30</v>
      </c>
      <c r="AR25" s="150"/>
      <c r="AS25" s="75">
        <f t="shared" si="11"/>
        <v>23</v>
      </c>
      <c r="AT25" s="54">
        <v>25</v>
      </c>
      <c r="AU25" s="55">
        <v>180</v>
      </c>
      <c r="AV25" s="150"/>
      <c r="AW25" s="67"/>
    </row>
    <row r="26" spans="1:49" s="49" customFormat="1" ht="11.25" x14ac:dyDescent="0.2">
      <c r="A26" s="73">
        <f t="shared" si="0"/>
        <v>24</v>
      </c>
      <c r="B26" s="54">
        <v>10.8</v>
      </c>
      <c r="C26" s="55">
        <v>85</v>
      </c>
      <c r="D26" s="150"/>
      <c r="E26" s="75">
        <f t="shared" si="1"/>
        <v>24</v>
      </c>
      <c r="F26" s="54">
        <v>51.78</v>
      </c>
      <c r="G26" s="55">
        <v>472</v>
      </c>
      <c r="H26" s="150"/>
      <c r="I26" s="75">
        <f t="shared" si="2"/>
        <v>24</v>
      </c>
      <c r="J26" s="54"/>
      <c r="K26" s="55"/>
      <c r="L26" s="150"/>
      <c r="M26" s="75">
        <f t="shared" si="3"/>
        <v>24</v>
      </c>
      <c r="N26" s="54"/>
      <c r="O26" s="55"/>
      <c r="P26" s="150"/>
      <c r="Q26" s="75">
        <f t="shared" si="4"/>
        <v>24</v>
      </c>
      <c r="R26" s="54"/>
      <c r="S26" s="55"/>
      <c r="T26" s="150">
        <v>1.0416666666666666E-2</v>
      </c>
      <c r="U26" s="75">
        <f t="shared" si="5"/>
        <v>24</v>
      </c>
      <c r="V26" s="54"/>
      <c r="W26" s="55"/>
      <c r="X26" s="150"/>
      <c r="Y26" s="75">
        <f t="shared" si="6"/>
        <v>24</v>
      </c>
      <c r="Z26" s="54">
        <v>8.64</v>
      </c>
      <c r="AA26" s="55">
        <v>85</v>
      </c>
      <c r="AB26" s="150"/>
      <c r="AC26" s="75">
        <f t="shared" si="7"/>
        <v>24</v>
      </c>
      <c r="AD26" s="54">
        <v>15.11</v>
      </c>
      <c r="AE26" s="55">
        <v>343</v>
      </c>
      <c r="AF26" s="150"/>
      <c r="AG26" s="75">
        <f t="shared" si="8"/>
        <v>24</v>
      </c>
      <c r="AH26" s="54">
        <v>11</v>
      </c>
      <c r="AI26" s="55">
        <v>30</v>
      </c>
      <c r="AJ26" s="150"/>
      <c r="AK26" s="75">
        <f t="shared" si="9"/>
        <v>24</v>
      </c>
      <c r="AL26" s="54">
        <v>5.15</v>
      </c>
      <c r="AM26" s="55">
        <v>3</v>
      </c>
      <c r="AN26" s="150"/>
      <c r="AO26" s="75">
        <f t="shared" si="10"/>
        <v>24</v>
      </c>
      <c r="AP26" s="54">
        <v>30.26</v>
      </c>
      <c r="AQ26" s="55">
        <v>33</v>
      </c>
      <c r="AR26" s="150"/>
      <c r="AS26" s="75">
        <f t="shared" si="11"/>
        <v>24</v>
      </c>
      <c r="AT26" s="54">
        <v>14.8</v>
      </c>
      <c r="AU26" s="55">
        <v>330</v>
      </c>
      <c r="AV26" s="150"/>
      <c r="AW26" s="67"/>
    </row>
    <row r="27" spans="1:49" s="49" customFormat="1" ht="11.25" x14ac:dyDescent="0.2">
      <c r="A27" s="73">
        <f t="shared" si="0"/>
        <v>25</v>
      </c>
      <c r="B27" s="54">
        <v>12.12</v>
      </c>
      <c r="C27" s="55">
        <v>50</v>
      </c>
      <c r="D27" s="150"/>
      <c r="E27" s="75">
        <f t="shared" si="1"/>
        <v>25</v>
      </c>
      <c r="F27" s="54">
        <v>33.81</v>
      </c>
      <c r="G27" s="55">
        <v>235</v>
      </c>
      <c r="H27" s="150"/>
      <c r="I27" s="75">
        <f t="shared" si="2"/>
        <v>25</v>
      </c>
      <c r="J27" s="54"/>
      <c r="K27" s="55"/>
      <c r="L27" s="150"/>
      <c r="M27" s="75">
        <f t="shared" si="3"/>
        <v>25</v>
      </c>
      <c r="N27" s="54">
        <v>10.1</v>
      </c>
      <c r="O27" s="55">
        <v>10</v>
      </c>
      <c r="P27" s="150"/>
      <c r="Q27" s="75">
        <f t="shared" si="4"/>
        <v>25</v>
      </c>
      <c r="R27" s="54">
        <v>12.05</v>
      </c>
      <c r="S27" s="55">
        <v>188</v>
      </c>
      <c r="T27" s="150"/>
      <c r="U27" s="75">
        <f t="shared" si="5"/>
        <v>25</v>
      </c>
      <c r="V27" s="54">
        <v>10.07</v>
      </c>
      <c r="W27" s="55">
        <v>20</v>
      </c>
      <c r="X27" s="150"/>
      <c r="Y27" s="75">
        <f t="shared" si="6"/>
        <v>25</v>
      </c>
      <c r="Z27" s="54">
        <v>10.42</v>
      </c>
      <c r="AA27" s="55">
        <v>100</v>
      </c>
      <c r="AB27" s="150"/>
      <c r="AC27" s="75">
        <f t="shared" si="7"/>
        <v>25</v>
      </c>
      <c r="AD27" s="54">
        <v>24</v>
      </c>
      <c r="AE27" s="55">
        <v>127</v>
      </c>
      <c r="AF27" s="150"/>
      <c r="AG27" s="75">
        <f t="shared" si="8"/>
        <v>25</v>
      </c>
      <c r="AH27" s="54">
        <v>10.5</v>
      </c>
      <c r="AI27" s="55">
        <v>80</v>
      </c>
      <c r="AJ27" s="150"/>
      <c r="AK27" s="75">
        <f t="shared" si="9"/>
        <v>25</v>
      </c>
      <c r="AL27" s="54">
        <v>13</v>
      </c>
      <c r="AM27" s="55">
        <v>30</v>
      </c>
      <c r="AN27" s="150"/>
      <c r="AO27" s="75">
        <f t="shared" si="10"/>
        <v>25</v>
      </c>
      <c r="AP27" s="54">
        <v>12.3</v>
      </c>
      <c r="AQ27" s="55">
        <v>30</v>
      </c>
      <c r="AR27" s="150"/>
      <c r="AS27" s="75">
        <f t="shared" si="11"/>
        <v>25</v>
      </c>
      <c r="AT27" s="54">
        <v>10.06</v>
      </c>
      <c r="AU27" s="55">
        <v>10</v>
      </c>
      <c r="AV27" s="150"/>
      <c r="AW27" s="67"/>
    </row>
    <row r="28" spans="1:49" s="49" customFormat="1" ht="11.25" x14ac:dyDescent="0.2">
      <c r="A28" s="73">
        <f t="shared" si="0"/>
        <v>26</v>
      </c>
      <c r="B28" s="54">
        <v>15</v>
      </c>
      <c r="C28" s="55">
        <v>20</v>
      </c>
      <c r="D28" s="150"/>
      <c r="E28" s="75">
        <f t="shared" si="1"/>
        <v>26</v>
      </c>
      <c r="F28" s="54">
        <v>6.03</v>
      </c>
      <c r="G28" s="55">
        <v>10</v>
      </c>
      <c r="H28" s="150"/>
      <c r="I28" s="75">
        <f t="shared" si="2"/>
        <v>26</v>
      </c>
      <c r="J28" s="54"/>
      <c r="K28" s="55"/>
      <c r="L28" s="150"/>
      <c r="M28" s="75">
        <f t="shared" si="3"/>
        <v>26</v>
      </c>
      <c r="N28" s="54">
        <v>5.35</v>
      </c>
      <c r="O28" s="55">
        <v>3</v>
      </c>
      <c r="P28" s="150">
        <v>1.0416666666666666E-2</v>
      </c>
      <c r="Q28" s="75">
        <f t="shared" si="4"/>
        <v>26</v>
      </c>
      <c r="R28" s="54">
        <v>15.47</v>
      </c>
      <c r="S28" s="55">
        <v>78</v>
      </c>
      <c r="T28" s="150"/>
      <c r="U28" s="75">
        <f t="shared" si="5"/>
        <v>26</v>
      </c>
      <c r="V28" s="54">
        <v>10.65</v>
      </c>
      <c r="W28" s="55">
        <v>15</v>
      </c>
      <c r="X28" s="150"/>
      <c r="Y28" s="75">
        <f t="shared" si="6"/>
        <v>26</v>
      </c>
      <c r="Z28" s="54">
        <v>10.36</v>
      </c>
      <c r="AA28" s="55">
        <v>20</v>
      </c>
      <c r="AB28" s="150"/>
      <c r="AC28" s="75">
        <f t="shared" si="7"/>
        <v>26</v>
      </c>
      <c r="AD28" s="54">
        <v>15.46</v>
      </c>
      <c r="AE28" s="55">
        <v>127</v>
      </c>
      <c r="AF28" s="150"/>
      <c r="AG28" s="75">
        <f t="shared" si="8"/>
        <v>26</v>
      </c>
      <c r="AH28" s="54">
        <v>10.86</v>
      </c>
      <c r="AI28" s="55">
        <v>30</v>
      </c>
      <c r="AJ28" s="150"/>
      <c r="AK28" s="75">
        <f t="shared" si="9"/>
        <v>26</v>
      </c>
      <c r="AL28" s="54">
        <v>8</v>
      </c>
      <c r="AM28" s="55">
        <v>35</v>
      </c>
      <c r="AN28" s="150"/>
      <c r="AO28" s="75">
        <f t="shared" si="10"/>
        <v>26</v>
      </c>
      <c r="AP28" s="54">
        <v>50</v>
      </c>
      <c r="AQ28" s="55">
        <v>60</v>
      </c>
      <c r="AR28" s="150"/>
      <c r="AS28" s="75">
        <f t="shared" si="11"/>
        <v>26</v>
      </c>
      <c r="AT28" s="54">
        <v>13.25</v>
      </c>
      <c r="AU28" s="55">
        <v>90</v>
      </c>
      <c r="AV28" s="150"/>
      <c r="AW28" s="67"/>
    </row>
    <row r="29" spans="1:49" s="49" customFormat="1" ht="11.25" x14ac:dyDescent="0.2">
      <c r="A29" s="73">
        <f t="shared" si="0"/>
        <v>27</v>
      </c>
      <c r="B29" s="54">
        <v>27.770000000000003</v>
      </c>
      <c r="C29" s="55">
        <v>387</v>
      </c>
      <c r="D29" s="150"/>
      <c r="E29" s="75">
        <f t="shared" si="1"/>
        <v>27</v>
      </c>
      <c r="F29" s="54">
        <v>6.3</v>
      </c>
      <c r="G29" s="55">
        <v>10</v>
      </c>
      <c r="H29" s="150"/>
      <c r="I29" s="75">
        <f t="shared" si="2"/>
        <v>27</v>
      </c>
      <c r="J29" s="54"/>
      <c r="K29" s="55"/>
      <c r="L29" s="150"/>
      <c r="M29" s="75">
        <f t="shared" si="3"/>
        <v>27</v>
      </c>
      <c r="N29" s="54">
        <v>11.1</v>
      </c>
      <c r="O29" s="55">
        <v>85</v>
      </c>
      <c r="P29" s="150"/>
      <c r="Q29" s="75">
        <f t="shared" si="4"/>
        <v>27</v>
      </c>
      <c r="R29" s="54">
        <v>62.05</v>
      </c>
      <c r="S29" s="55">
        <v>750</v>
      </c>
      <c r="T29" s="150"/>
      <c r="U29" s="75">
        <f t="shared" si="5"/>
        <v>27</v>
      </c>
      <c r="V29" s="54">
        <v>10.15</v>
      </c>
      <c r="W29" s="55">
        <v>40</v>
      </c>
      <c r="X29" s="150"/>
      <c r="Y29" s="75">
        <f t="shared" si="6"/>
        <v>27</v>
      </c>
      <c r="Z29" s="54">
        <v>14.44</v>
      </c>
      <c r="AA29" s="55">
        <v>45</v>
      </c>
      <c r="AB29" s="150"/>
      <c r="AC29" s="75">
        <f t="shared" si="7"/>
        <v>27</v>
      </c>
      <c r="AD29" s="54">
        <v>10.15</v>
      </c>
      <c r="AE29" s="55">
        <v>40</v>
      </c>
      <c r="AF29" s="150"/>
      <c r="AG29" s="75">
        <f t="shared" si="8"/>
        <v>27</v>
      </c>
      <c r="AH29" s="54">
        <v>20.36</v>
      </c>
      <c r="AI29" s="55">
        <v>25</v>
      </c>
      <c r="AJ29" s="150"/>
      <c r="AK29" s="75">
        <f t="shared" si="9"/>
        <v>27</v>
      </c>
      <c r="AL29" s="54">
        <v>20.25</v>
      </c>
      <c r="AM29" s="55">
        <v>50</v>
      </c>
      <c r="AN29" s="150"/>
      <c r="AO29" s="75">
        <f t="shared" si="10"/>
        <v>27</v>
      </c>
      <c r="AP29" s="54">
        <v>5.2</v>
      </c>
      <c r="AQ29" s="55">
        <v>3</v>
      </c>
      <c r="AR29" s="150"/>
      <c r="AS29" s="75">
        <f t="shared" si="11"/>
        <v>27</v>
      </c>
      <c r="AT29" s="54">
        <v>5.81</v>
      </c>
      <c r="AU29" s="55">
        <v>10</v>
      </c>
      <c r="AV29" s="150"/>
      <c r="AW29" s="67"/>
    </row>
    <row r="30" spans="1:49" s="49" customFormat="1" ht="11.25" x14ac:dyDescent="0.2">
      <c r="A30" s="73">
        <f t="shared" si="0"/>
        <v>28</v>
      </c>
      <c r="B30" s="54">
        <v>24.47</v>
      </c>
      <c r="C30" s="55">
        <v>200</v>
      </c>
      <c r="D30" s="150"/>
      <c r="E30" s="75">
        <f t="shared" si="1"/>
        <v>28</v>
      </c>
      <c r="F30" s="54">
        <v>6.3</v>
      </c>
      <c r="G30" s="55">
        <v>10</v>
      </c>
      <c r="H30" s="150"/>
      <c r="I30" s="75">
        <f t="shared" si="2"/>
        <v>28</v>
      </c>
      <c r="J30" s="54"/>
      <c r="K30" s="55"/>
      <c r="L30" s="150"/>
      <c r="M30" s="75">
        <f t="shared" si="3"/>
        <v>28</v>
      </c>
      <c r="N30" s="54">
        <v>17</v>
      </c>
      <c r="O30" s="55">
        <v>325</v>
      </c>
      <c r="P30" s="150"/>
      <c r="Q30" s="75">
        <f t="shared" si="4"/>
        <v>28</v>
      </c>
      <c r="R30" s="54">
        <v>10.76</v>
      </c>
      <c r="S30" s="55">
        <v>30</v>
      </c>
      <c r="T30" s="150"/>
      <c r="U30" s="75">
        <f t="shared" si="5"/>
        <v>28</v>
      </c>
      <c r="V30" s="54">
        <v>22.33</v>
      </c>
      <c r="W30" s="55">
        <v>100</v>
      </c>
      <c r="X30" s="150"/>
      <c r="Y30" s="75">
        <f t="shared" si="6"/>
        <v>28</v>
      </c>
      <c r="Z30" s="54">
        <v>90.83</v>
      </c>
      <c r="AA30" s="55">
        <v>868</v>
      </c>
      <c r="AB30" s="150"/>
      <c r="AC30" s="75">
        <f t="shared" si="7"/>
        <v>28</v>
      </c>
      <c r="AD30" s="54">
        <v>9.2799999999999994</v>
      </c>
      <c r="AE30" s="55">
        <v>75</v>
      </c>
      <c r="AF30" s="150"/>
      <c r="AG30" s="75">
        <f t="shared" si="8"/>
        <v>28</v>
      </c>
      <c r="AH30" s="54">
        <v>16.060000000000002</v>
      </c>
      <c r="AI30" s="55">
        <v>70</v>
      </c>
      <c r="AJ30" s="150"/>
      <c r="AK30" s="75">
        <f t="shared" si="9"/>
        <v>28</v>
      </c>
      <c r="AL30" s="54">
        <v>30.63</v>
      </c>
      <c r="AM30" s="55">
        <v>120</v>
      </c>
      <c r="AN30" s="150"/>
      <c r="AO30" s="75">
        <f t="shared" si="10"/>
        <v>28</v>
      </c>
      <c r="AP30" s="54">
        <v>10.180000000000001</v>
      </c>
      <c r="AQ30" s="55">
        <v>21</v>
      </c>
      <c r="AR30" s="150"/>
      <c r="AS30" s="75">
        <f t="shared" si="11"/>
        <v>28</v>
      </c>
      <c r="AT30" s="54">
        <v>6</v>
      </c>
      <c r="AU30" s="55">
        <v>10</v>
      </c>
      <c r="AV30" s="150"/>
      <c r="AW30" s="67"/>
    </row>
    <row r="31" spans="1:49" s="49" customFormat="1" ht="11.25" x14ac:dyDescent="0.2">
      <c r="A31" s="73">
        <f t="shared" si="0"/>
        <v>29</v>
      </c>
      <c r="B31" s="54">
        <v>10</v>
      </c>
      <c r="C31" s="55">
        <v>20</v>
      </c>
      <c r="D31" s="150"/>
      <c r="E31" s="75"/>
      <c r="F31" s="54"/>
      <c r="G31" s="55"/>
      <c r="H31" s="150"/>
      <c r="I31" s="75">
        <f t="shared" si="2"/>
        <v>29</v>
      </c>
      <c r="J31" s="54"/>
      <c r="K31" s="55"/>
      <c r="L31" s="150"/>
      <c r="M31" s="75">
        <f t="shared" si="3"/>
        <v>29</v>
      </c>
      <c r="N31" s="54">
        <v>20.25</v>
      </c>
      <c r="O31" s="55">
        <v>89</v>
      </c>
      <c r="P31" s="150"/>
      <c r="Q31" s="75">
        <f t="shared" si="4"/>
        <v>29</v>
      </c>
      <c r="R31" s="54">
        <v>10.01</v>
      </c>
      <c r="S31" s="55">
        <v>30</v>
      </c>
      <c r="T31" s="150"/>
      <c r="U31" s="75">
        <f t="shared" si="5"/>
        <v>29</v>
      </c>
      <c r="V31" s="54">
        <v>26.43</v>
      </c>
      <c r="W31" s="55">
        <v>185</v>
      </c>
      <c r="X31" s="150"/>
      <c r="Y31" s="75">
        <f t="shared" si="6"/>
        <v>29</v>
      </c>
      <c r="Z31" s="54">
        <v>10.47</v>
      </c>
      <c r="AA31" s="55">
        <v>25</v>
      </c>
      <c r="AB31" s="150"/>
      <c r="AC31" s="75">
        <f t="shared" si="7"/>
        <v>29</v>
      </c>
      <c r="AD31" s="54">
        <v>14.86</v>
      </c>
      <c r="AE31" s="55">
        <v>240</v>
      </c>
      <c r="AF31" s="150"/>
      <c r="AG31" s="75">
        <f t="shared" si="8"/>
        <v>29</v>
      </c>
      <c r="AH31" s="54">
        <v>35.659999999999997</v>
      </c>
      <c r="AI31" s="55">
        <v>200</v>
      </c>
      <c r="AJ31" s="150"/>
      <c r="AK31" s="75">
        <f t="shared" si="9"/>
        <v>29</v>
      </c>
      <c r="AL31" s="54">
        <v>10.33</v>
      </c>
      <c r="AM31" s="55">
        <v>35</v>
      </c>
      <c r="AN31" s="150"/>
      <c r="AO31" s="75">
        <f t="shared" si="10"/>
        <v>29</v>
      </c>
      <c r="AP31" s="54">
        <v>11</v>
      </c>
      <c r="AQ31" s="55">
        <v>30</v>
      </c>
      <c r="AR31" s="150"/>
      <c r="AS31" s="75">
        <f t="shared" si="11"/>
        <v>29</v>
      </c>
      <c r="AT31" s="54">
        <v>30.64</v>
      </c>
      <c r="AU31" s="55">
        <v>380</v>
      </c>
      <c r="AV31" s="150"/>
      <c r="AW31" s="67"/>
    </row>
    <row r="32" spans="1:49" s="49" customFormat="1" ht="11.25" x14ac:dyDescent="0.2">
      <c r="A32" s="73">
        <f t="shared" si="0"/>
        <v>30</v>
      </c>
      <c r="B32" s="54">
        <v>10.349999999999998</v>
      </c>
      <c r="C32" s="55">
        <v>40</v>
      </c>
      <c r="D32" s="150"/>
      <c r="E32" s="75"/>
      <c r="F32" s="54"/>
      <c r="G32" s="55"/>
      <c r="H32" s="150"/>
      <c r="I32" s="75">
        <f t="shared" si="2"/>
        <v>30</v>
      </c>
      <c r="J32" s="54"/>
      <c r="K32" s="55"/>
      <c r="L32" s="150"/>
      <c r="M32" s="75">
        <f t="shared" si="3"/>
        <v>30</v>
      </c>
      <c r="N32" s="54">
        <v>11.42</v>
      </c>
      <c r="O32" s="55">
        <v>25</v>
      </c>
      <c r="P32" s="150"/>
      <c r="Q32" s="75">
        <f t="shared" si="4"/>
        <v>30</v>
      </c>
      <c r="R32" s="54">
        <v>11.2</v>
      </c>
      <c r="S32" s="55">
        <v>25</v>
      </c>
      <c r="T32" s="150"/>
      <c r="U32" s="75">
        <f t="shared" si="5"/>
        <v>30</v>
      </c>
      <c r="V32" s="54">
        <v>22.650000000000002</v>
      </c>
      <c r="W32" s="55">
        <v>137</v>
      </c>
      <c r="X32" s="150">
        <v>1.1111111111111112E-2</v>
      </c>
      <c r="Y32" s="75">
        <f t="shared" si="6"/>
        <v>30</v>
      </c>
      <c r="Z32" s="54">
        <v>10.5</v>
      </c>
      <c r="AA32" s="55">
        <v>25</v>
      </c>
      <c r="AB32" s="150"/>
      <c r="AC32" s="75">
        <f t="shared" si="7"/>
        <v>30</v>
      </c>
      <c r="AD32" s="54">
        <v>5.15</v>
      </c>
      <c r="AE32" s="55">
        <v>3</v>
      </c>
      <c r="AF32" s="150"/>
      <c r="AG32" s="75">
        <f t="shared" si="8"/>
        <v>30</v>
      </c>
      <c r="AH32" s="54">
        <v>22.55</v>
      </c>
      <c r="AI32" s="55">
        <v>115</v>
      </c>
      <c r="AJ32" s="150"/>
      <c r="AK32" s="75">
        <f t="shared" si="9"/>
        <v>30</v>
      </c>
      <c r="AL32" s="54"/>
      <c r="AM32" s="55"/>
      <c r="AN32" s="150"/>
      <c r="AO32" s="75">
        <f t="shared" si="10"/>
        <v>30</v>
      </c>
      <c r="AP32" s="54"/>
      <c r="AQ32" s="55"/>
      <c r="AR32" s="150"/>
      <c r="AS32" s="75">
        <f t="shared" si="11"/>
        <v>30</v>
      </c>
      <c r="AT32" s="54">
        <v>24.66</v>
      </c>
      <c r="AU32" s="55">
        <v>25</v>
      </c>
      <c r="AV32" s="150"/>
      <c r="AW32" s="67"/>
    </row>
    <row r="33" spans="1:49" s="49" customFormat="1" ht="11.25" x14ac:dyDescent="0.2">
      <c r="A33" s="74">
        <f t="shared" si="0"/>
        <v>31</v>
      </c>
      <c r="B33" s="62">
        <v>5</v>
      </c>
      <c r="C33" s="63">
        <v>3</v>
      </c>
      <c r="D33" s="151"/>
      <c r="E33" s="76"/>
      <c r="F33" s="62"/>
      <c r="G33" s="63"/>
      <c r="H33" s="151"/>
      <c r="I33" s="76">
        <f t="shared" si="2"/>
        <v>31</v>
      </c>
      <c r="J33" s="62"/>
      <c r="K33" s="63"/>
      <c r="L33" s="151"/>
      <c r="M33" s="76"/>
      <c r="N33" s="62"/>
      <c r="O33" s="63"/>
      <c r="P33" s="151"/>
      <c r="Q33" s="76">
        <f t="shared" si="4"/>
        <v>31</v>
      </c>
      <c r="R33" s="62">
        <v>84.490000000000009</v>
      </c>
      <c r="S33" s="63">
        <v>785</v>
      </c>
      <c r="T33" s="151"/>
      <c r="U33" s="76"/>
      <c r="V33" s="62"/>
      <c r="W33" s="63"/>
      <c r="X33" s="151"/>
      <c r="Y33" s="76">
        <f t="shared" si="6"/>
        <v>31</v>
      </c>
      <c r="Z33" s="62">
        <v>10.06</v>
      </c>
      <c r="AA33" s="63">
        <v>65</v>
      </c>
      <c r="AB33" s="151"/>
      <c r="AC33" s="76">
        <f t="shared" si="7"/>
        <v>31</v>
      </c>
      <c r="AD33" s="62">
        <v>10</v>
      </c>
      <c r="AE33" s="63">
        <v>310</v>
      </c>
      <c r="AF33" s="151"/>
      <c r="AG33" s="76"/>
      <c r="AH33" s="62"/>
      <c r="AI33" s="63"/>
      <c r="AJ33" s="151"/>
      <c r="AK33" s="76">
        <f t="shared" si="9"/>
        <v>31</v>
      </c>
      <c r="AL33" s="62">
        <v>10.3</v>
      </c>
      <c r="AM33" s="63">
        <v>35</v>
      </c>
      <c r="AN33" s="151"/>
      <c r="AO33" s="76"/>
      <c r="AP33" s="62"/>
      <c r="AQ33" s="63"/>
      <c r="AR33" s="151"/>
      <c r="AS33" s="76">
        <f t="shared" si="11"/>
        <v>31</v>
      </c>
      <c r="AT33" s="62">
        <v>10.1</v>
      </c>
      <c r="AU33" s="63">
        <v>306</v>
      </c>
      <c r="AV33" s="151">
        <v>2.0833333333333332E-2</v>
      </c>
      <c r="AW33" s="67"/>
    </row>
    <row r="34" spans="1:49" s="49" customFormat="1" ht="11.25" x14ac:dyDescent="0.2">
      <c r="A34" s="45" t="s">
        <v>92</v>
      </c>
      <c r="B34" s="47">
        <f>SUM(B3:B33)</f>
        <v>419.11</v>
      </c>
      <c r="C34" s="48">
        <f>SUM(C3:C33)</f>
        <v>2554</v>
      </c>
      <c r="D34" s="79">
        <f>(SUM(D3:D33)/D39)*C39</f>
        <v>78</v>
      </c>
      <c r="E34" s="65"/>
      <c r="F34" s="47">
        <f>SUM(F3:F33)</f>
        <v>387.69</v>
      </c>
      <c r="G34" s="48">
        <f>SUM(G3:G33)</f>
        <v>2078</v>
      </c>
      <c r="H34" s="79">
        <f>(SUM(H3:H33)/D39)*C39</f>
        <v>18</v>
      </c>
      <c r="I34" s="65"/>
      <c r="J34" s="47">
        <f>SUM(J3:J33)</f>
        <v>288.46999999999997</v>
      </c>
      <c r="K34" s="48">
        <f>SUM(K3:K33)</f>
        <v>1627</v>
      </c>
      <c r="L34" s="79">
        <f>(SUM(L3:L33)/D39)*C39</f>
        <v>12</v>
      </c>
      <c r="M34" s="77"/>
      <c r="N34" s="47">
        <f>SUM(N3:N33)</f>
        <v>512.32000000000016</v>
      </c>
      <c r="O34" s="48">
        <f>SUM(O3:O33)</f>
        <v>6601</v>
      </c>
      <c r="P34" s="79">
        <f>(SUM(P3:P33)/D39)*C39</f>
        <v>18</v>
      </c>
      <c r="Q34" s="65"/>
      <c r="R34" s="47">
        <f>SUM(R3:R33)</f>
        <v>648.05999999999995</v>
      </c>
      <c r="S34" s="48">
        <f>SUM(S3:S33)</f>
        <v>5735</v>
      </c>
      <c r="T34" s="79">
        <f>(SUM(T3:T33)/D39)*C39</f>
        <v>6</v>
      </c>
      <c r="U34" s="65"/>
      <c r="V34" s="47">
        <f>SUM(V3:V33)</f>
        <v>517.6099999999999</v>
      </c>
      <c r="W34" s="48">
        <f>SUM(W3:W33)</f>
        <v>6254</v>
      </c>
      <c r="X34" s="79">
        <f>(SUM(X3:X33)/D39)*C39</f>
        <v>6.4000000000000012</v>
      </c>
      <c r="Y34" s="65"/>
      <c r="Z34" s="47">
        <f>SUM(Z3:Z33)</f>
        <v>579.33000000000004</v>
      </c>
      <c r="AA34" s="48">
        <f>SUM(AA3:AA33)</f>
        <v>4124</v>
      </c>
      <c r="AB34" s="79">
        <f>(SUM(AB3:AB33)/D39)*C39</f>
        <v>0</v>
      </c>
      <c r="AC34" s="65"/>
      <c r="AD34" s="47">
        <f>SUM(AD3:AD33)</f>
        <v>470.34999999999991</v>
      </c>
      <c r="AE34" s="48">
        <f>SUM(AE3:AE33)</f>
        <v>4373</v>
      </c>
      <c r="AF34" s="79">
        <f>(SUM(AF3:AF33)/D39)*C39</f>
        <v>6</v>
      </c>
      <c r="AG34" s="65"/>
      <c r="AH34" s="54">
        <f>SUM(AH3:AH33)</f>
        <v>486.62999999999994</v>
      </c>
      <c r="AI34" s="48">
        <f>SUM(AI3:AI33)</f>
        <v>3263</v>
      </c>
      <c r="AJ34" s="79">
        <f>(SUM(AJ3:AJ33)/D39)*C39</f>
        <v>56</v>
      </c>
      <c r="AK34" s="65"/>
      <c r="AL34" s="47">
        <f>SUM(AL3:AL33)</f>
        <v>527.71999999999991</v>
      </c>
      <c r="AM34" s="48">
        <f>SUM(AM3:AM33)</f>
        <v>3597</v>
      </c>
      <c r="AN34" s="79">
        <f>(SUM(AN3:AN33)/D39)*C39</f>
        <v>8</v>
      </c>
      <c r="AO34" s="65"/>
      <c r="AP34" s="47">
        <f>SUM(AP3:AP33)</f>
        <v>519.61</v>
      </c>
      <c r="AQ34" s="48">
        <f>SUM(AQ3:AQ33)</f>
        <v>2324</v>
      </c>
      <c r="AR34" s="79">
        <f>(SUM(AR3:AR33)/D39)*C39</f>
        <v>10</v>
      </c>
      <c r="AS34" s="65"/>
      <c r="AT34" s="47">
        <f>SUM(AT3:AT33)</f>
        <v>421.25000000000006</v>
      </c>
      <c r="AU34" s="48">
        <f>SUM(AU3:AU33)</f>
        <v>2131</v>
      </c>
      <c r="AV34" s="79">
        <f>(SUM(AV3:AV33)/D39)*C39</f>
        <v>18</v>
      </c>
      <c r="AW34" s="67"/>
    </row>
    <row r="35" spans="1:49" s="52" customFormat="1" ht="11.25" x14ac:dyDescent="0.2">
      <c r="A35" s="46" t="s">
        <v>93</v>
      </c>
      <c r="B35" s="50">
        <f>B34</f>
        <v>419.11</v>
      </c>
      <c r="C35" s="51">
        <f>C34</f>
        <v>2554</v>
      </c>
      <c r="D35" s="80">
        <f>D34</f>
        <v>78</v>
      </c>
      <c r="E35" s="66"/>
      <c r="F35" s="50">
        <f>F34+B35</f>
        <v>806.8</v>
      </c>
      <c r="G35" s="51">
        <f>G34+C35</f>
        <v>4632</v>
      </c>
      <c r="H35" s="80">
        <f>H34+D35</f>
        <v>96</v>
      </c>
      <c r="I35" s="66"/>
      <c r="J35" s="50">
        <f>J34+F35</f>
        <v>1095.27</v>
      </c>
      <c r="K35" s="51">
        <f>K34+G35</f>
        <v>6259</v>
      </c>
      <c r="L35" s="80">
        <f>L34+H35</f>
        <v>108</v>
      </c>
      <c r="M35" s="66"/>
      <c r="N35" s="50">
        <f>N34+J35</f>
        <v>1607.5900000000001</v>
      </c>
      <c r="O35" s="51">
        <f>O34+K35</f>
        <v>12860</v>
      </c>
      <c r="P35" s="80">
        <f>P34+L35</f>
        <v>126</v>
      </c>
      <c r="Q35" s="66"/>
      <c r="R35" s="50">
        <f>R34+N35</f>
        <v>2255.65</v>
      </c>
      <c r="S35" s="51">
        <f>S34+O35</f>
        <v>18595</v>
      </c>
      <c r="T35" s="80">
        <f>T34+P35</f>
        <v>132</v>
      </c>
      <c r="U35" s="66"/>
      <c r="V35" s="50">
        <f>V34+R35</f>
        <v>2773.26</v>
      </c>
      <c r="W35" s="51">
        <f>W34+S35</f>
        <v>24849</v>
      </c>
      <c r="X35" s="80">
        <f>X34+T35</f>
        <v>138.4</v>
      </c>
      <c r="Y35" s="66"/>
      <c r="Z35" s="50">
        <f>Z34+V35</f>
        <v>3352.59</v>
      </c>
      <c r="AA35" s="51">
        <f>AA34+W35</f>
        <v>28973</v>
      </c>
      <c r="AB35" s="80">
        <f>AB34+X35</f>
        <v>138.4</v>
      </c>
      <c r="AC35" s="66"/>
      <c r="AD35" s="50">
        <f>AD34+Z35</f>
        <v>3822.94</v>
      </c>
      <c r="AE35" s="51">
        <f>AE34+AA35</f>
        <v>33346</v>
      </c>
      <c r="AF35" s="80">
        <f>AF34+AB35</f>
        <v>144.4</v>
      </c>
      <c r="AG35" s="66"/>
      <c r="AH35" s="86">
        <f>AH34+AD35</f>
        <v>4309.57</v>
      </c>
      <c r="AI35" s="51">
        <f>AI34+AE35</f>
        <v>36609</v>
      </c>
      <c r="AJ35" s="80">
        <f>AJ34+AF35</f>
        <v>200.4</v>
      </c>
      <c r="AK35" s="66"/>
      <c r="AL35" s="50">
        <f>AL34+AH35</f>
        <v>4837.29</v>
      </c>
      <c r="AM35" s="51">
        <f>AM34+AI35</f>
        <v>40206</v>
      </c>
      <c r="AN35" s="80">
        <f>AN34+AJ35</f>
        <v>208.4</v>
      </c>
      <c r="AO35" s="66"/>
      <c r="AP35" s="50">
        <f>AP34+AL35</f>
        <v>5356.9</v>
      </c>
      <c r="AQ35" s="51">
        <f>AQ34+AM35</f>
        <v>42530</v>
      </c>
      <c r="AR35" s="80">
        <f>AR34+AN35</f>
        <v>218.4</v>
      </c>
      <c r="AS35" s="66"/>
      <c r="AT35" s="50">
        <f>AT34+AP35</f>
        <v>5778.15</v>
      </c>
      <c r="AU35" s="51">
        <f>AU34+AQ35</f>
        <v>44661</v>
      </c>
      <c r="AV35" s="80">
        <f>AV34+AR35</f>
        <v>236.4</v>
      </c>
      <c r="AW35" s="92"/>
    </row>
    <row r="36" spans="1:49" s="49" customFormat="1" ht="11.25" x14ac:dyDescent="0.2">
      <c r="A36" s="49" t="s">
        <v>149</v>
      </c>
      <c r="B36" s="47">
        <f>MAX(B3:B33)</f>
        <v>66.66</v>
      </c>
      <c r="C36" s="55">
        <f>MAX(C3:C33)</f>
        <v>387</v>
      </c>
      <c r="D36" s="152">
        <f>MAX(D3:D33)</f>
        <v>4.8611111111111112E-2</v>
      </c>
      <c r="E36" s="67"/>
      <c r="F36" s="47">
        <f>MAX(F3:F33)</f>
        <v>51.78</v>
      </c>
      <c r="G36" s="55">
        <f>MAX(G3:G33)</f>
        <v>472</v>
      </c>
      <c r="H36" s="152">
        <f>MAX(H3:H33)</f>
        <v>1.0416666666666666E-2</v>
      </c>
      <c r="I36" s="67"/>
      <c r="J36" s="47">
        <f>MAX(J3:J33)</f>
        <v>58.73</v>
      </c>
      <c r="K36" s="55">
        <f>MAX(K3:K33)</f>
        <v>431</v>
      </c>
      <c r="L36" s="152">
        <f>MAX(L3:L33)</f>
        <v>2.0833333333333332E-2</v>
      </c>
      <c r="M36" s="67"/>
      <c r="N36" s="47">
        <f>MAX(N3:N33)</f>
        <v>82</v>
      </c>
      <c r="O36" s="55">
        <f>MAX(O3:O33)</f>
        <v>2147</v>
      </c>
      <c r="P36" s="152">
        <f>MAX(P3:P33)</f>
        <v>2.0833333333333332E-2</v>
      </c>
      <c r="Q36" s="67"/>
      <c r="R36" s="47">
        <f>MAX(R3:R33)</f>
        <v>84.490000000000009</v>
      </c>
      <c r="S36" s="55">
        <f>MAX(S3:S33)</f>
        <v>785</v>
      </c>
      <c r="T36" s="152">
        <f>MAX(T3:T33)</f>
        <v>1.0416666666666666E-2</v>
      </c>
      <c r="U36" s="67"/>
      <c r="V36" s="47">
        <f>MAX(V3:V33)</f>
        <v>57.2</v>
      </c>
      <c r="W36" s="55">
        <f>MAX(W3:W33)</f>
        <v>1500</v>
      </c>
      <c r="X36" s="152">
        <f>MAX(X3:X33)</f>
        <v>1.1111111111111112E-2</v>
      </c>
      <c r="Y36" s="67"/>
      <c r="Z36" s="47">
        <f>MAX(Z3:Z33)</f>
        <v>90.83</v>
      </c>
      <c r="AA36" s="55">
        <f>MAX(AA3:AA33)</f>
        <v>951</v>
      </c>
      <c r="AB36" s="152">
        <f>MAX(AB3:AB33)</f>
        <v>0</v>
      </c>
      <c r="AC36" s="67"/>
      <c r="AD36" s="47">
        <f>MAX(AD3:AD33)</f>
        <v>59.109999999999992</v>
      </c>
      <c r="AE36" s="55">
        <f>MAX(AE3:AE33)</f>
        <v>980</v>
      </c>
      <c r="AF36" s="152">
        <f>MAX(AF3:AF33)</f>
        <v>1.0416666666666666E-2</v>
      </c>
      <c r="AG36" s="67"/>
      <c r="AH36" s="47">
        <f>MAX(AH3:AH33)</f>
        <v>57.620000000000005</v>
      </c>
      <c r="AI36" s="55">
        <f>MAX(AI3:AI33)</f>
        <v>842</v>
      </c>
      <c r="AJ36" s="152">
        <f>MAX(AJ3:AJ33)</f>
        <v>6.25E-2</v>
      </c>
      <c r="AK36" s="67"/>
      <c r="AL36" s="47">
        <f>MAX(AL3:AL33)</f>
        <v>52.8</v>
      </c>
      <c r="AM36" s="55">
        <f>MAX(AM3:AM33)</f>
        <v>436</v>
      </c>
      <c r="AN36" s="152">
        <f>MAX(AN3:AN33)</f>
        <v>1.3888888888888888E-2</v>
      </c>
      <c r="AO36" s="67"/>
      <c r="AP36" s="47">
        <f>MAX(AP3:AP33)</f>
        <v>66.66</v>
      </c>
      <c r="AQ36" s="55">
        <f>MAX(AQ3:AQ33)</f>
        <v>584</v>
      </c>
      <c r="AR36" s="152">
        <f>MAX(AR3:AR33)</f>
        <v>1.7361111111111112E-2</v>
      </c>
      <c r="AS36" s="67"/>
      <c r="AT36" s="47">
        <f>MAX(AT3:AT33)</f>
        <v>37.96</v>
      </c>
      <c r="AU36" s="55">
        <f>MAX(AU3:AU33)</f>
        <v>380</v>
      </c>
      <c r="AV36" s="152">
        <f>MAX(AV3:AV33)</f>
        <v>2.0833333333333332E-2</v>
      </c>
      <c r="AW36" s="67"/>
    </row>
    <row r="37" spans="1:49" s="49" customFormat="1" ht="11.25" x14ac:dyDescent="0.2">
      <c r="A37" s="49" t="s">
        <v>343</v>
      </c>
      <c r="B37" s="54">
        <f>IFERROR(AVERAGE(B3:B33),0)</f>
        <v>14.452068965517242</v>
      </c>
      <c r="C37" s="55">
        <f>IFERROR(AVERAGE(C3:C33),0)</f>
        <v>88.068965517241381</v>
      </c>
      <c r="D37" s="152">
        <f>IFERROR(AVERAGE(D3:D33),0)</f>
        <v>3.3854166666666664E-2</v>
      </c>
      <c r="E37" s="67"/>
      <c r="F37" s="54">
        <f>IFERROR(AVERAGE(F3:F33),0)</f>
        <v>14.358888888888888</v>
      </c>
      <c r="G37" s="55">
        <f>IFERROR(AVERAGE(G3:G33),0)</f>
        <v>76.962962962962962</v>
      </c>
      <c r="H37" s="152">
        <f>IFERROR(AVERAGE(H3:H33),0)</f>
        <v>1.0416666666666666E-2</v>
      </c>
      <c r="I37" s="67"/>
      <c r="J37" s="54">
        <f>IFERROR(AVERAGE(J3:J33),0)</f>
        <v>13.112272727272726</v>
      </c>
      <c r="K37" s="55">
        <f>IFERROR(AVERAGE(K3:K33),0)</f>
        <v>73.954545454545453</v>
      </c>
      <c r="L37" s="152">
        <f>IFERROR(AVERAGE(L3:L33),0)</f>
        <v>2.0833333333333332E-2</v>
      </c>
      <c r="M37" s="67"/>
      <c r="N37" s="54">
        <f>IFERROR(AVERAGE(N3:N33),0)</f>
        <v>18.297142857142862</v>
      </c>
      <c r="O37" s="55">
        <f>IFERROR(AVERAGE(O3:O33),0)</f>
        <v>235.75</v>
      </c>
      <c r="P37" s="152">
        <f>IFERROR(AVERAGE(P3:P33),0)</f>
        <v>1.5625E-2</v>
      </c>
      <c r="Q37" s="67"/>
      <c r="R37" s="54">
        <f>IFERROR(AVERAGE(R3:R33),0)</f>
        <v>22.346896551724136</v>
      </c>
      <c r="S37" s="55">
        <f>IFERROR(AVERAGE(S3:S33),0)</f>
        <v>197.75862068965517</v>
      </c>
      <c r="T37" s="152">
        <f>IFERROR(AVERAGE(T3:T33),0)</f>
        <v>1.0416666666666666E-2</v>
      </c>
      <c r="U37" s="67"/>
      <c r="V37" s="54">
        <f>IFERROR(AVERAGE(V3:V33),0)</f>
        <v>23.527727272727269</v>
      </c>
      <c r="W37" s="55">
        <f>IFERROR(AVERAGE(W3:W33),0)</f>
        <v>284.27272727272725</v>
      </c>
      <c r="X37" s="152">
        <f>IFERROR(AVERAGE(X3:X33),0)</f>
        <v>1.1111111111111112E-2</v>
      </c>
      <c r="Y37" s="67"/>
      <c r="Z37" s="54">
        <f>IFERROR(AVERAGE(Z3:Z33),0)</f>
        <v>19.311</v>
      </c>
      <c r="AA37" s="55">
        <f>IFERROR(AVERAGE(AA3:AA33),0)</f>
        <v>137.46666666666667</v>
      </c>
      <c r="AB37" s="152">
        <f>IFERROR(AVERAGE(AB3:AB33),0)</f>
        <v>0</v>
      </c>
      <c r="AC37" s="67"/>
      <c r="AD37" s="54">
        <f>IFERROR(AVERAGE(AD3:AD33),0)</f>
        <v>15.678333333333331</v>
      </c>
      <c r="AE37" s="55">
        <f>IFERROR(AVERAGE(AE3:AE33),0)</f>
        <v>145.76666666666668</v>
      </c>
      <c r="AF37" s="152">
        <f>IFERROR(AVERAGE(AF3:AF33),0)</f>
        <v>1.0416666666666666E-2</v>
      </c>
      <c r="AG37" s="67"/>
      <c r="AH37" s="54">
        <f>IFERROR(AVERAGE(AH3:AH33),0)</f>
        <v>17.379642857142855</v>
      </c>
      <c r="AI37" s="55">
        <f>IFERROR(AVERAGE(AI3:AI33),0)</f>
        <v>116.53571428571429</v>
      </c>
      <c r="AJ37" s="152">
        <f>IFERROR(AVERAGE(AJ3:AJ33),0)</f>
        <v>4.8611111111111112E-2</v>
      </c>
      <c r="AK37" s="67"/>
      <c r="AL37" s="54">
        <f>IFERROR(AVERAGE(AL3:AL33),0)</f>
        <v>18.197241379310341</v>
      </c>
      <c r="AM37" s="55">
        <f>IFERROR(AVERAGE(AM3:AM33),0)</f>
        <v>124.03448275862068</v>
      </c>
      <c r="AN37" s="152">
        <f>IFERROR(AVERAGE(AN3:AN33),0)</f>
        <v>1.3888888888888888E-2</v>
      </c>
      <c r="AO37" s="67"/>
      <c r="AP37" s="54">
        <f>IFERROR(AVERAGE(AP3:AP33),0)</f>
        <v>18.557500000000001</v>
      </c>
      <c r="AQ37" s="55">
        <f>IFERROR(AVERAGE(AQ3:AQ33),0)</f>
        <v>83</v>
      </c>
      <c r="AR37" s="152">
        <f>IFERROR(AVERAGE(AR3:AR33),0)</f>
        <v>1.7361111111111112E-2</v>
      </c>
      <c r="AS37" s="67"/>
      <c r="AT37" s="54">
        <f>IFERROR(AVERAGE(AT3:AT33),0)</f>
        <v>14.041666666666668</v>
      </c>
      <c r="AU37" s="55">
        <f>IFERROR(AVERAGE(AU3:AU33),0)</f>
        <v>71.033333333333331</v>
      </c>
      <c r="AV37" s="152">
        <f>IFERROR(AVERAGE(AV3:AV33),0)</f>
        <v>1.5625E-2</v>
      </c>
      <c r="AW37" s="67"/>
    </row>
    <row r="38" spans="1:49" s="49" customFormat="1" ht="11.25" x14ac:dyDescent="0.2">
      <c r="A38" s="49" t="s">
        <v>236</v>
      </c>
      <c r="B38" s="54">
        <f>B34-'17'!B34</f>
        <v>174.83</v>
      </c>
      <c r="C38" s="78">
        <f>C34-'17'!C34</f>
        <v>878</v>
      </c>
      <c r="D38" s="105">
        <f>IF(B34+D34=0,0,D34/(B34+D34))</f>
        <v>0.15690692200921325</v>
      </c>
      <c r="E38" s="67"/>
      <c r="F38" s="54">
        <f>F34-'17'!F34</f>
        <v>-151.68</v>
      </c>
      <c r="G38" s="78">
        <f>G34-'17'!G34</f>
        <v>-1715</v>
      </c>
      <c r="H38" s="105">
        <f>IF(F34+H34=0,0,H34/(F34+H34))</f>
        <v>4.4368853065148268E-2</v>
      </c>
      <c r="I38" s="67"/>
      <c r="J38" s="54">
        <f>J34-'17'!J34</f>
        <v>-322.15000000000003</v>
      </c>
      <c r="K38" s="78">
        <f>K34-'17'!K34</f>
        <v>-3441</v>
      </c>
      <c r="L38" s="105">
        <f>IF(J34+L34=0,0,L34/(J34+L34))</f>
        <v>3.9937431357539861E-2</v>
      </c>
      <c r="M38" s="67"/>
      <c r="N38" s="54">
        <f>N34-'17'!N34</f>
        <v>-15.139999999999759</v>
      </c>
      <c r="O38" s="78">
        <f>O34-'17'!O34</f>
        <v>2305</v>
      </c>
      <c r="P38" s="105">
        <f>IF(N34+P34=0,0,P34/(N34+P34))</f>
        <v>3.3941771006184937E-2</v>
      </c>
      <c r="Q38" s="67"/>
      <c r="R38" s="54">
        <f>R34-'17'!R34</f>
        <v>-68.600000000000023</v>
      </c>
      <c r="S38" s="78">
        <f>S34-'17'!S34</f>
        <v>-627</v>
      </c>
      <c r="T38" s="105">
        <f>IF(R34+T34=0,0,T34/(R34+T34))</f>
        <v>9.173470323823504E-3</v>
      </c>
      <c r="U38" s="67"/>
      <c r="V38" s="54">
        <f>V34-'17'!V34</f>
        <v>-141.5</v>
      </c>
      <c r="W38" s="78">
        <f>W34-'17'!W34</f>
        <v>-3878</v>
      </c>
      <c r="X38" s="105">
        <f>IF(V34+X34=0,0,X34/(V34+X34))</f>
        <v>1.2213507375813443E-2</v>
      </c>
      <c r="Y38" s="67"/>
      <c r="Z38" s="54">
        <f>Z34-'17'!Z34</f>
        <v>-106.08999999999992</v>
      </c>
      <c r="AA38" s="78">
        <f>AA34-'17'!AA34</f>
        <v>-517</v>
      </c>
      <c r="AB38" s="105">
        <f>IF(Z34+AB34=0,0,AB34/(Z34+AB34))</f>
        <v>0</v>
      </c>
      <c r="AC38" s="67"/>
      <c r="AD38" s="54">
        <f>AD34-'17'!AD34</f>
        <v>-210.05000000000007</v>
      </c>
      <c r="AE38" s="78">
        <f>AE34-'17'!AE34</f>
        <v>-1252</v>
      </c>
      <c r="AF38" s="105">
        <f>IF(AD34+AF34=0,0,AF34/(AD34+AF34))</f>
        <v>1.2595780413561459E-2</v>
      </c>
      <c r="AG38" s="67"/>
      <c r="AH38" s="54">
        <f>AH34-'17'!AH34</f>
        <v>-79.79000000000002</v>
      </c>
      <c r="AI38" s="78">
        <f>AI34-'17'!AI34</f>
        <v>-780</v>
      </c>
      <c r="AJ38" s="105">
        <f>IF(AH34+AJ34=0,0,AJ34/(AH34+AJ34))</f>
        <v>0.10320107623979509</v>
      </c>
      <c r="AK38" s="67"/>
      <c r="AL38" s="54">
        <f>AL34-'17'!AL34</f>
        <v>-140.20000000000027</v>
      </c>
      <c r="AM38" s="78">
        <f>AM34-'17'!AM34</f>
        <v>1049</v>
      </c>
      <c r="AN38" s="105">
        <f>IF(AL34+AN34=0,0,AN34/(AL34+AN34))</f>
        <v>1.493317404614351E-2</v>
      </c>
      <c r="AO38" s="67"/>
      <c r="AP38" s="54">
        <f>AP34-'17'!AP34</f>
        <v>59.1099999999999</v>
      </c>
      <c r="AQ38" s="78">
        <f>AQ34-'17'!AQ34</f>
        <v>174</v>
      </c>
      <c r="AR38" s="105">
        <f>IF(AP34+AR34=0,0,AR34/(AP34+AR34))</f>
        <v>1.8881818696776874E-2</v>
      </c>
      <c r="AS38" s="67"/>
      <c r="AT38" s="54">
        <f>AT34-'17'!AT34</f>
        <v>43.49000000000018</v>
      </c>
      <c r="AU38" s="78">
        <f>AU34-'17'!AU34</f>
        <v>-84</v>
      </c>
      <c r="AV38" s="105">
        <f>IF(AT34+AV34=0,0,AV34/(AT34+AV34))</f>
        <v>4.0978941377347748E-2</v>
      </c>
      <c r="AW38" s="67"/>
    </row>
    <row r="39" spans="1:49" s="1" customFormat="1" x14ac:dyDescent="0.2">
      <c r="A39" s="46" t="s">
        <v>154</v>
      </c>
      <c r="B39" s="147" t="s">
        <v>237</v>
      </c>
      <c r="C39" s="148">
        <v>24</v>
      </c>
      <c r="D39" s="153">
        <v>4.1666666666666664E-2</v>
      </c>
      <c r="E39" s="168"/>
      <c r="G39" s="217"/>
      <c r="H39" s="169"/>
      <c r="I39" s="168"/>
      <c r="J39" s="50">
        <f>SUM(B34,F34,J34)</f>
        <v>1095.27</v>
      </c>
      <c r="K39" s="51">
        <f t="shared" ref="K39:L39" si="12">SUM(C34,G34,K34)</f>
        <v>6259</v>
      </c>
      <c r="L39" s="170">
        <f t="shared" si="12"/>
        <v>108</v>
      </c>
      <c r="M39" s="168"/>
      <c r="P39" s="169"/>
      <c r="Q39" s="168"/>
      <c r="T39" s="169"/>
      <c r="U39" s="168"/>
      <c r="V39" s="50">
        <f>SUM(N34,R34,V34)</f>
        <v>1677.99</v>
      </c>
      <c r="W39" s="51">
        <f>SUM(O34,S34,W34)</f>
        <v>18590</v>
      </c>
      <c r="X39" s="170">
        <f>SUM(P34,T34,X34)</f>
        <v>30.400000000000002</v>
      </c>
      <c r="Y39" s="168"/>
      <c r="AB39" s="169"/>
      <c r="AC39" s="168"/>
      <c r="AF39" s="169"/>
      <c r="AG39" s="168"/>
      <c r="AH39" s="86">
        <f>SUM(Z34,AD34,AH34)</f>
        <v>1536.3099999999997</v>
      </c>
      <c r="AI39" s="51">
        <f>SUM(AA34,AE34,AI34)</f>
        <v>11760</v>
      </c>
      <c r="AJ39" s="170">
        <f>SUM(AB34,AF34,AJ34)</f>
        <v>62</v>
      </c>
      <c r="AK39" s="168"/>
      <c r="AN39" s="169"/>
      <c r="AO39" s="168"/>
      <c r="AR39" s="169"/>
      <c r="AS39" s="168"/>
      <c r="AT39" s="50">
        <f>SUM(AL34,AP34,AT34)</f>
        <v>1468.58</v>
      </c>
      <c r="AU39" s="51">
        <f>SUM(AM34,AQ34,AU34)</f>
        <v>8052</v>
      </c>
      <c r="AV39" s="170">
        <f>SUM(AN34,AR34,AV34)</f>
        <v>36</v>
      </c>
      <c r="AW39" s="168"/>
    </row>
    <row r="40" spans="1:49" s="49" customFormat="1" ht="11.25" x14ac:dyDescent="0.2">
      <c r="A40" s="49" t="s">
        <v>342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13.974410193892952</v>
      </c>
      <c r="K40" s="55">
        <f>IFERROR(AVERAGE(C37,G37,K37),0)</f>
        <v>79.662157978249923</v>
      </c>
      <c r="L40" s="152">
        <f>IFERROR(AVERAGE(D37,H37,L37),0)</f>
        <v>2.1701388888888885E-2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21.390588893864759</v>
      </c>
      <c r="W40" s="55">
        <f>IFERROR(AVERAGE(O37,S37,W37),0)</f>
        <v>239.26044932079412</v>
      </c>
      <c r="X40" s="152">
        <f>IFERROR(AVERAGE(P37,T37,X37),0)</f>
        <v>1.238425925925926E-2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17.456325396825395</v>
      </c>
      <c r="AI40" s="55">
        <f>IFERROR(AVERAGE(AA37,AE37,AI37),0)</f>
        <v>133.2563492063492</v>
      </c>
      <c r="AJ40" s="152">
        <f>IFERROR(AVERAGE(AB37,AF37,AJ37),0)</f>
        <v>1.9675925925925927E-2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16.932136015325671</v>
      </c>
      <c r="AU40" s="55">
        <f>IFERROR(AVERAGE(AM37,AQ37,AU37),0)</f>
        <v>92.689272030651338</v>
      </c>
      <c r="AV40" s="152">
        <f>IFERROR(AVERAGE(AN37,AR37,AV37),0)</f>
        <v>1.5625E-2</v>
      </c>
      <c r="AW40" s="67"/>
    </row>
    <row r="41" spans="1:49" s="104" customFormat="1" ht="11.25" x14ac:dyDescent="0.2">
      <c r="A41" s="101" t="s">
        <v>221</v>
      </c>
      <c r="B41" s="95">
        <f>RANK(B34,(B34,F34,J34,N34,R34,V34,Z34,AD34,AH34,AL34,AP34,AT34))</f>
        <v>10</v>
      </c>
      <c r="C41" s="96">
        <f>RANK(C34,(C34,G34,K34,O34,S34,W34,AA34,AE34,AI34,AM34,AQ34,AU34))</f>
        <v>8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11</v>
      </c>
      <c r="G41" s="96">
        <f>RANK(G34,(C34,G34,K34,O34,S34,W34,AA34,AE34,AI34,AM34,AQ34,AU34))</f>
        <v>11</v>
      </c>
      <c r="H41" s="102">
        <f>RANK(H34,(D34,H34,L34,P34,T34,X34,AB34,AF34,AJ34,AN34,AR34,AV34))</f>
        <v>3</v>
      </c>
      <c r="I41" s="103"/>
      <c r="J41" s="95">
        <f>RANK(J34,(B34,F34,J34,N34,R34,V34,Z34,AD34,AH34,AL34,AP34,AT34))</f>
        <v>12</v>
      </c>
      <c r="K41" s="96">
        <f>RANK(K34,(C34,G34,K34,O34,S34,W34,AA34,AE34,AI34,AM34,AQ34,AU34))</f>
        <v>12</v>
      </c>
      <c r="L41" s="102">
        <f>RANK(L34,(D34,H34,L34,P34,T34,X34,AB34,AF34,AJ34,AN34,AR34,AV34))</f>
        <v>6</v>
      </c>
      <c r="M41" s="103"/>
      <c r="N41" s="95">
        <f>RANK(N34,(B34,F34,J34,N34,R34,V34,Z34,AD34,AH34,AL34,AP34,AT34))</f>
        <v>6</v>
      </c>
      <c r="O41" s="96">
        <f>RANK(O34,(C34,G34,K34,O34,S34,W34,AA34,AE34,AI34,AM34,AQ34,AU34))</f>
        <v>1</v>
      </c>
      <c r="P41" s="102">
        <f>RANK(P34,(D34,H34,L34,P34,T34,X34,AB34,AF34,AJ34,AN34,AR34,AV34))</f>
        <v>3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3</v>
      </c>
      <c r="T41" s="102">
        <f>RANK(T34,(D34,H34,L34,P34,T34,X34,AB34,AF34,AJ34,AN34,AR34,AV34))</f>
        <v>10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2</v>
      </c>
      <c r="X41" s="102">
        <f>RANK(X34,(D34,H34,L34,P34,T34,X34,AB34,AF34,AJ34,AN34,AR34,AV34))</f>
        <v>9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12</v>
      </c>
      <c r="AC41" s="103"/>
      <c r="AD41" s="95">
        <f>RANK(AD34,(B34,F34,J34,N34,R34,V34,Z34,AD34,AH34,AL34,AP34,AT34))</f>
        <v>8</v>
      </c>
      <c r="AE41" s="96">
        <f>RANK(AE34,(C34,G34,K34,O34,S34,W34,AA34,AE34,AI34,AM34,AQ34,AU34))</f>
        <v>4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7</v>
      </c>
      <c r="AJ41" s="102">
        <f>RANK(AJ34,(D34,H34,L34,P34,T34,X34,AB34,AF34,AJ34,AN34,AR34,AV34))</f>
        <v>2</v>
      </c>
      <c r="AK41" s="103"/>
      <c r="AL41" s="95">
        <f>RANK(AL34,(B34,F34,J34,N34,R34,V34,Z34,AD34,AH34,AL34,AP34,AT34))</f>
        <v>3</v>
      </c>
      <c r="AM41" s="96">
        <f>RANK(AM34,(C34,G34,K34,O34,S34,W34,AA34,AE34,AI34,AM34,AQ34,AU34))</f>
        <v>6</v>
      </c>
      <c r="AN41" s="102">
        <f>RANK(AN34,(D34,H34,L34,P34,T34,X34,AB34,AF34,AJ34,AN34,AR34,AV34))</f>
        <v>8</v>
      </c>
      <c r="AO41" s="103"/>
      <c r="AP41" s="95">
        <f>RANK(AP34,(B34,F34,J34,N34,R34,V34,Z34,AD34,AH34,AL34,AP34,AT34))</f>
        <v>4</v>
      </c>
      <c r="AQ41" s="96">
        <f>RANK(AQ34,(C34,G34,K34,O34,S34,W34,AA34,AE34,AI34,AM34,AQ34,AU34))</f>
        <v>9</v>
      </c>
      <c r="AR41" s="102">
        <f>RANK(AR34,(D34,H34,L34,P34,T34,X34,AB34,AF34,AJ34,AN34,AR34,AV34))</f>
        <v>7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10</v>
      </c>
      <c r="AV41" s="102">
        <f>RANK(AV34,(D34,H34,L34,P34,T34,X34,AB34,AF34,AJ34,AN34,AR34,AV34))</f>
        <v>3</v>
      </c>
      <c r="AW41" s="107"/>
    </row>
    <row r="42" spans="1:49" s="49" customFormat="1" ht="11.25" x14ac:dyDescent="0.2">
      <c r="A42" s="52" t="s">
        <v>214</v>
      </c>
      <c r="B42" s="86">
        <f>T1</f>
        <v>17.438365124977199</v>
      </c>
      <c r="C42" s="87">
        <f>AB1</f>
        <v>136.21705713401113</v>
      </c>
      <c r="D42" s="88"/>
      <c r="E42" s="176" t="s">
        <v>399</v>
      </c>
      <c r="F42" s="177">
        <f>SUM(J23:J33,N3:N33,R3:R33,V3:V33,Z3:Z33,AD3:AD33,AH3:AH23)</f>
        <v>3113.4700000000003</v>
      </c>
      <c r="G42" s="178">
        <f>SUM(K23:K33,O3:O32,S3:S33,W3:W32,AA3:AA33,AE3:AE33,AI3:AI23)</f>
        <v>29906</v>
      </c>
      <c r="H42" s="179"/>
      <c r="I42" s="179"/>
      <c r="J42" s="180">
        <f>IFERROR(F42/(F42+F43),0)</f>
        <v>0.53883509427758025</v>
      </c>
      <c r="K42" s="180">
        <f>IFERROR(G42/(G42+G43),0)</f>
        <v>0.66962226551129622</v>
      </c>
      <c r="L42" s="179"/>
      <c r="M42" s="259" t="s">
        <v>600</v>
      </c>
      <c r="N42" s="257">
        <v>40</v>
      </c>
      <c r="O42" s="78">
        <f>N42-'17'!N42</f>
        <v>-36</v>
      </c>
      <c r="Y42" s="144"/>
      <c r="AK42" s="211" t="s">
        <v>478</v>
      </c>
      <c r="AL42" s="47">
        <f>MAX(B34,F34,J34,N34,R34,V34,Z34,AD34,AH34,AL34,AP34,AT34)</f>
        <v>648.05999999999995</v>
      </c>
      <c r="AM42" s="212">
        <f>MAX(C34,G34,K34,O34,S34,W34,AA34,AE34,AI34,AM34,AQ34,AU34)</f>
        <v>6601</v>
      </c>
      <c r="AN42" s="49" t="s">
        <v>346</v>
      </c>
      <c r="AO42" s="210" t="s">
        <v>344</v>
      </c>
      <c r="AP42" s="54">
        <f>R1-'17'!R1</f>
        <v>44.189999999999969</v>
      </c>
      <c r="AQ42" s="78">
        <f>AF1-'17'!AF1</f>
        <v>-49</v>
      </c>
      <c r="AR42" s="49" t="s">
        <v>345</v>
      </c>
      <c r="AS42" s="209" t="s">
        <v>344</v>
      </c>
      <c r="AT42" s="54">
        <f>I1-'17'!I1</f>
        <v>-0.17000000000000171</v>
      </c>
      <c r="AU42" s="78">
        <f>AN1-'17'!AN1</f>
        <v>182</v>
      </c>
      <c r="AV42" s="49" t="s">
        <v>346</v>
      </c>
      <c r="AW42" s="67"/>
    </row>
    <row r="43" spans="1:49" s="49" customFormat="1" ht="11.25" x14ac:dyDescent="0.2">
      <c r="A43" s="52" t="s">
        <v>215</v>
      </c>
      <c r="B43" s="86">
        <f>E1/365</f>
        <v>15.830547945205478</v>
      </c>
      <c r="C43" s="87">
        <f>AU1/365</f>
        <v>122.35890410958905</v>
      </c>
      <c r="D43" s="88"/>
      <c r="E43" s="172" t="s">
        <v>400</v>
      </c>
      <c r="F43" s="173">
        <f>E1-F42</f>
        <v>2664.6799999999994</v>
      </c>
      <c r="G43" s="174">
        <f>AU1-G42</f>
        <v>14755</v>
      </c>
      <c r="H43" s="175"/>
      <c r="I43" s="175"/>
      <c r="J43" s="181">
        <f>IFERROR(F43/(F42+F43),0)</f>
        <v>0.46116490572241975</v>
      </c>
      <c r="K43" s="181">
        <f>IFERROR(G43/(G42+G43),0)</f>
        <v>0.33037773448870378</v>
      </c>
      <c r="L43" s="175"/>
      <c r="M43" s="65" t="s">
        <v>601</v>
      </c>
      <c r="N43" s="258">
        <v>8</v>
      </c>
      <c r="O43" s="78">
        <f>N43-'17'!N43</f>
        <v>0</v>
      </c>
      <c r="Y43" s="67"/>
      <c r="AK43" s="213" t="s">
        <v>481</v>
      </c>
      <c r="AL43" s="188">
        <f>IF($B$1&lt;&gt;0,$AV$35/$B1,0)</f>
        <v>3.9304686136119912E-2</v>
      </c>
      <c r="AO43" s="209" t="s">
        <v>344</v>
      </c>
      <c r="AP43" s="54">
        <f>AV35-'17'!AV35</f>
        <v>-251.20000000000002</v>
      </c>
      <c r="AQ43" s="188">
        <f>AL43-'17'!AL43</f>
        <v>-2.8197030478494575E-2</v>
      </c>
      <c r="AR43" s="49" t="s">
        <v>204</v>
      </c>
      <c r="AS43" s="209" t="s">
        <v>344</v>
      </c>
      <c r="AT43" s="54">
        <f>B1-'17'!B1</f>
        <v>-1208.9700000000012</v>
      </c>
      <c r="AU43" s="78">
        <f>AU1-'17'!AU1</f>
        <v>-7888</v>
      </c>
      <c r="AV43" s="49" t="s">
        <v>347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116" priority="97" operator="equal">
      <formula>$R$1</formula>
    </cfRule>
    <cfRule type="cellIs" dxfId="115" priority="98" operator="equal">
      <formula>$M$1</formula>
    </cfRule>
  </conditionalFormatting>
  <conditionalFormatting sqref="C34 G34 K34 O34 S34 W34 AA34 AE34 AI34 AM34 AQ34 AU34">
    <cfRule type="cellIs" dxfId="114" priority="96" operator="equal">
      <formula>$AF$1</formula>
    </cfRule>
    <cfRule type="cellIs" dxfId="113" priority="99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112" priority="93" operator="lessThan">
      <formula>0</formula>
    </cfRule>
    <cfRule type="cellIs" dxfId="111" priority="94" operator="greaterThanOrEqual">
      <formula>0</formula>
    </cfRule>
  </conditionalFormatting>
  <conditionalFormatting sqref="C38 AU42:AU43 AQ42 G38 K38 O38 S38 W38 AA38 AE38 AI38 AM38 AQ38 AU38">
    <cfRule type="cellIs" dxfId="110" priority="91" operator="lessThan">
      <formula>0</formula>
    </cfRule>
    <cfRule type="cellIs" dxfId="109" priority="92" operator="greaterThanOrEqual">
      <formula>0</formula>
    </cfRule>
  </conditionalFormatting>
  <conditionalFormatting sqref="D38">
    <cfRule type="cellIs" dxfId="108" priority="8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107" priority="8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106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05" priority="67" operator="equal">
      <formula>MAX($D$36,$H$36,$L$36,$P$36,$T$36,$X$36,$AB$36,$AF$36,$AJ$36,$AN$36,$AR$36,$AV$36)</formula>
    </cfRule>
  </conditionalFormatting>
  <conditionalFormatting sqref="AP43">
    <cfRule type="cellIs" dxfId="104" priority="65" operator="lessThan">
      <formula>0</formula>
    </cfRule>
    <cfRule type="cellIs" dxfId="103" priority="66" operator="greaterThanOrEqual">
      <formula>0</formula>
    </cfRule>
  </conditionalFormatting>
  <conditionalFormatting sqref="AQ43">
    <cfRule type="cellIs" dxfId="102" priority="63" stopIfTrue="1" operator="lessThan">
      <formula>0</formula>
    </cfRule>
    <cfRule type="cellIs" dxfId="101" priority="64" operator="greaterThanOrEqual">
      <formula>0</formula>
    </cfRule>
  </conditionalFormatting>
  <conditionalFormatting sqref="AL42">
    <cfRule type="cellIs" dxfId="100" priority="58" stopIfTrue="1" operator="lessThan">
      <formula>1000</formula>
    </cfRule>
    <cfRule type="cellIs" dxfId="99" priority="59" stopIfTrue="1" operator="lessThan">
      <formula>1100</formula>
    </cfRule>
    <cfRule type="cellIs" dxfId="98" priority="60" stopIfTrue="1" operator="lessThan">
      <formula>9999</formula>
    </cfRule>
  </conditionalFormatting>
  <conditionalFormatting sqref="AM42">
    <cfRule type="cellIs" dxfId="97" priority="55" stopIfTrue="1" operator="lessThan">
      <formula>10000</formula>
    </cfRule>
    <cfRule type="cellIs" dxfId="96" priority="56" stopIfTrue="1" operator="lessThan">
      <formula>13000</formula>
    </cfRule>
    <cfRule type="cellIs" dxfId="95" priority="57" stopIfTrue="1" operator="lessThan">
      <formula>99999</formula>
    </cfRule>
  </conditionalFormatting>
  <conditionalFormatting sqref="AL43">
    <cfRule type="cellIs" dxfId="94" priority="52" stopIfTrue="1" operator="lessThan">
      <formula>0.05</formula>
    </cfRule>
    <cfRule type="cellIs" dxfId="93" priority="53" stopIfTrue="1" operator="lessThan">
      <formula>0.1</formula>
    </cfRule>
    <cfRule type="cellIs" dxfId="92" priority="54" stopIfTrue="1" operator="lessThanOrEqual">
      <formula>1</formula>
    </cfRule>
  </conditionalFormatting>
  <conditionalFormatting sqref="H3:H33 L3:L33 T3:T33 X3:X33 AB3:AB33 AF3:AF33 AJ3:AJ33 AN3:AN33 AR3:AR33 AV3:AV33 D3:D33 P3:P33">
    <cfRule type="cellIs" dxfId="91" priority="79" stopIfTrue="1" operator="between">
      <formula>0</formula>
      <formula>0.0416550925925926</formula>
    </cfRule>
    <cfRule type="cellIs" dxfId="90" priority="80" stopIfTrue="1" operator="between">
      <formula>0.0416666666666667</formula>
      <formula>0.0833217592592593</formula>
    </cfRule>
    <cfRule type="cellIs" dxfId="89" priority="81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88" priority="85" stopIfTrue="1" operator="between">
      <formula>0</formula>
      <formula>749.99</formula>
    </cfRule>
    <cfRule type="cellIs" dxfId="87" priority="86" stopIfTrue="1" operator="greaterThanOrEqual">
      <formula>1500</formula>
    </cfRule>
    <cfRule type="cellIs" dxfId="86" priority="87" operator="greaterThanOrEqual">
      <formula>750</formula>
    </cfRule>
  </conditionalFormatting>
  <conditionalFormatting sqref="B3:B33 F3:F33 J3:J33 R3:R33 V3:V33 Z3:Z33 AT3:AT33 AH3:AH33 AL3:AL33 AP3:AP33 N3:N33 AD3:AD33">
    <cfRule type="cellIs" dxfId="85" priority="88" stopIfTrue="1" operator="lessThan">
      <formula>50</formula>
    </cfRule>
    <cfRule type="cellIs" dxfId="84" priority="89" stopIfTrue="1" operator="greaterThanOrEqual">
      <formula>100</formula>
    </cfRule>
    <cfRule type="cellIs" dxfId="83" priority="90" operator="greaterThanOrEqual">
      <formula>50</formula>
    </cfRule>
  </conditionalFormatting>
  <conditionalFormatting sqref="O42">
    <cfRule type="cellIs" dxfId="82" priority="7" operator="lessThan">
      <formula>0</formula>
    </cfRule>
    <cfRule type="cellIs" dxfId="81" priority="8" operator="greaterThanOrEqual">
      <formula>0</formula>
    </cfRule>
  </conditionalFormatting>
  <conditionalFormatting sqref="O42">
    <cfRule type="cellIs" dxfId="80" priority="5" operator="lessThan">
      <formula>0</formula>
    </cfRule>
    <cfRule type="cellIs" dxfId="79" priority="6" operator="greaterThanOrEqual">
      <formula>0</formula>
    </cfRule>
  </conditionalFormatting>
  <conditionalFormatting sqref="O43">
    <cfRule type="cellIs" dxfId="78" priority="3" operator="lessThan">
      <formula>0</formula>
    </cfRule>
    <cfRule type="cellIs" dxfId="77" priority="4" operator="greaterThanOrEqual">
      <formula>0</formula>
    </cfRule>
  </conditionalFormatting>
  <conditionalFormatting sqref="O43">
    <cfRule type="cellIs" dxfId="76" priority="1" operator="lessThan">
      <formula>0</formula>
    </cfRule>
    <cfRule type="cellIs" dxfId="75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W48"/>
  <sheetViews>
    <sheetView workbookViewId="0">
      <selection sqref="A1:W1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402" t="s">
        <v>506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</row>
    <row r="3" spans="1:23" s="45" customFormat="1" x14ac:dyDescent="0.2">
      <c r="A3" s="284" t="s">
        <v>287</v>
      </c>
      <c r="B3" s="281" t="s">
        <v>841</v>
      </c>
      <c r="C3" s="282" t="s">
        <v>942</v>
      </c>
      <c r="D3" s="281" t="s">
        <v>687</v>
      </c>
      <c r="E3" s="282" t="s">
        <v>688</v>
      </c>
      <c r="F3" s="329" t="s">
        <v>689</v>
      </c>
      <c r="G3" s="282" t="s">
        <v>943</v>
      </c>
      <c r="H3" s="281" t="s">
        <v>690</v>
      </c>
      <c r="I3" s="282" t="s">
        <v>691</v>
      </c>
      <c r="J3" s="281" t="s">
        <v>945</v>
      </c>
      <c r="K3" s="282" t="s">
        <v>944</v>
      </c>
      <c r="L3" s="329" t="s">
        <v>792</v>
      </c>
      <c r="M3" s="282" t="s">
        <v>793</v>
      </c>
      <c r="N3" s="281"/>
      <c r="O3" s="282"/>
      <c r="P3" s="281" t="s">
        <v>604</v>
      </c>
      <c r="Q3" s="282" t="s">
        <v>697</v>
      </c>
      <c r="R3" s="281" t="s">
        <v>53</v>
      </c>
      <c r="S3" s="282"/>
      <c r="T3" s="329" t="s">
        <v>707</v>
      </c>
      <c r="U3" s="282" t="s">
        <v>708</v>
      </c>
      <c r="V3" s="281"/>
      <c r="W3" s="282"/>
    </row>
    <row r="4" spans="1:23" x14ac:dyDescent="0.2">
      <c r="A4" s="285" t="s">
        <v>695</v>
      </c>
      <c r="B4" s="278">
        <v>2.6</v>
      </c>
      <c r="C4" s="279">
        <v>70</v>
      </c>
      <c r="D4" s="278">
        <v>3.35</v>
      </c>
      <c r="E4" s="279">
        <v>20</v>
      </c>
      <c r="F4" s="278">
        <v>0.7</v>
      </c>
      <c r="G4" s="279">
        <v>30</v>
      </c>
      <c r="H4" s="278">
        <v>1.06</v>
      </c>
      <c r="I4" s="279">
        <v>65</v>
      </c>
      <c r="J4" s="278">
        <v>1.6</v>
      </c>
      <c r="K4" s="279">
        <v>20</v>
      </c>
      <c r="L4" s="278">
        <v>2</v>
      </c>
      <c r="M4" s="279">
        <v>3</v>
      </c>
      <c r="N4" s="278"/>
      <c r="O4" s="279"/>
      <c r="P4" s="278">
        <v>1.87</v>
      </c>
      <c r="Q4" s="279">
        <v>25</v>
      </c>
      <c r="R4" s="278">
        <v>5.3</v>
      </c>
      <c r="S4" s="279">
        <v>67</v>
      </c>
      <c r="T4" s="278">
        <v>4.12</v>
      </c>
      <c r="U4" s="279">
        <v>25</v>
      </c>
      <c r="V4" s="278"/>
      <c r="W4" s="279"/>
    </row>
    <row r="5" spans="1:23" x14ac:dyDescent="0.2">
      <c r="A5" s="269">
        <v>3</v>
      </c>
      <c r="B5" s="145">
        <f>$A$5*B4</f>
        <v>7.8000000000000007</v>
      </c>
      <c r="C5" s="208">
        <f t="shared" ref="C5:W5" si="0">$A$5*C4</f>
        <v>210</v>
      </c>
      <c r="D5" s="145">
        <f t="shared" si="0"/>
        <v>10.050000000000001</v>
      </c>
      <c r="E5" s="208">
        <f t="shared" si="0"/>
        <v>60</v>
      </c>
      <c r="F5" s="145">
        <f t="shared" si="0"/>
        <v>2.0999999999999996</v>
      </c>
      <c r="G5" s="208">
        <f t="shared" si="0"/>
        <v>90</v>
      </c>
      <c r="H5" s="145">
        <f t="shared" si="0"/>
        <v>3.18</v>
      </c>
      <c r="I5" s="208">
        <f t="shared" si="0"/>
        <v>195</v>
      </c>
      <c r="J5" s="145">
        <f t="shared" si="0"/>
        <v>4.8000000000000007</v>
      </c>
      <c r="K5" s="208">
        <f t="shared" si="0"/>
        <v>60</v>
      </c>
      <c r="L5" s="145">
        <f t="shared" si="0"/>
        <v>6</v>
      </c>
      <c r="M5" s="208">
        <f t="shared" si="0"/>
        <v>9</v>
      </c>
      <c r="N5" s="145">
        <f t="shared" si="0"/>
        <v>0</v>
      </c>
      <c r="O5" s="208">
        <f t="shared" si="0"/>
        <v>0</v>
      </c>
      <c r="P5" s="145">
        <f t="shared" si="0"/>
        <v>5.61</v>
      </c>
      <c r="Q5" s="208">
        <f t="shared" si="0"/>
        <v>75</v>
      </c>
      <c r="R5" s="145">
        <f t="shared" si="0"/>
        <v>15.899999999999999</v>
      </c>
      <c r="S5" s="208">
        <f t="shared" si="0"/>
        <v>201</v>
      </c>
      <c r="T5" s="145">
        <f t="shared" si="0"/>
        <v>12.36</v>
      </c>
      <c r="U5" s="208">
        <f t="shared" si="0"/>
        <v>75</v>
      </c>
      <c r="V5" s="145">
        <f t="shared" si="0"/>
        <v>0</v>
      </c>
      <c r="W5" s="208">
        <f t="shared" si="0"/>
        <v>0</v>
      </c>
    </row>
    <row r="7" spans="1:23" x14ac:dyDescent="0.2">
      <c r="A7" s="214" t="s">
        <v>807</v>
      </c>
      <c r="B7" s="270" t="s">
        <v>238</v>
      </c>
      <c r="C7" s="271" t="s">
        <v>2</v>
      </c>
      <c r="E7" s="214" t="s">
        <v>614</v>
      </c>
      <c r="F7" s="270" t="s">
        <v>238</v>
      </c>
      <c r="G7" s="271" t="s">
        <v>2</v>
      </c>
      <c r="I7" s="214" t="s">
        <v>719</v>
      </c>
      <c r="J7" s="270" t="s">
        <v>238</v>
      </c>
      <c r="K7" s="271" t="s">
        <v>2</v>
      </c>
      <c r="M7" s="292" t="s">
        <v>626</v>
      </c>
      <c r="N7" s="270" t="s">
        <v>238</v>
      </c>
      <c r="O7" s="270" t="s">
        <v>2</v>
      </c>
      <c r="P7" s="270" t="s">
        <v>940</v>
      </c>
      <c r="Q7" s="271" t="s">
        <v>941</v>
      </c>
      <c r="S7" s="404" t="s">
        <v>698</v>
      </c>
      <c r="T7" s="405"/>
      <c r="U7" s="405"/>
      <c r="V7" s="405"/>
      <c r="W7" s="406"/>
    </row>
    <row r="8" spans="1:23" x14ac:dyDescent="0.2">
      <c r="A8" s="65" t="s">
        <v>605</v>
      </c>
      <c r="B8" s="11">
        <v>11.2</v>
      </c>
      <c r="C8" s="207">
        <v>90</v>
      </c>
      <c r="E8" s="65" t="s">
        <v>864</v>
      </c>
      <c r="F8" s="11">
        <v>3</v>
      </c>
      <c r="G8" s="207">
        <v>35</v>
      </c>
      <c r="H8" s="5"/>
      <c r="I8" s="65" t="s">
        <v>652</v>
      </c>
      <c r="J8" s="11">
        <v>0.61</v>
      </c>
      <c r="K8" s="207">
        <v>5</v>
      </c>
      <c r="M8" s="65" t="s">
        <v>625</v>
      </c>
      <c r="N8" s="11">
        <v>0.75</v>
      </c>
      <c r="O8">
        <v>1</v>
      </c>
      <c r="P8" s="262">
        <f t="shared" ref="P8:Q14" si="1">N8*$A$5</f>
        <v>2.25</v>
      </c>
      <c r="Q8" s="207">
        <f t="shared" si="1"/>
        <v>3</v>
      </c>
      <c r="S8" s="65" t="s">
        <v>692</v>
      </c>
      <c r="T8" s="11">
        <v>3.6</v>
      </c>
      <c r="U8">
        <v>40</v>
      </c>
      <c r="V8" s="262">
        <f t="shared" ref="V8:W14" si="2">T8*$A$5</f>
        <v>10.8</v>
      </c>
      <c r="W8" s="207">
        <f t="shared" si="2"/>
        <v>120</v>
      </c>
    </row>
    <row r="9" spans="1:23" x14ac:dyDescent="0.2">
      <c r="A9" s="65" t="s">
        <v>714</v>
      </c>
      <c r="B9" s="11">
        <v>11.3</v>
      </c>
      <c r="C9" s="207">
        <v>60</v>
      </c>
      <c r="E9" s="65" t="s">
        <v>865</v>
      </c>
      <c r="F9" s="11">
        <v>3</v>
      </c>
      <c r="G9" s="207">
        <v>37</v>
      </c>
      <c r="H9" s="5"/>
      <c r="I9" s="65" t="s">
        <v>615</v>
      </c>
      <c r="J9" s="11">
        <v>0.62</v>
      </c>
      <c r="K9" s="207">
        <v>1</v>
      </c>
      <c r="M9" s="65" t="s">
        <v>543</v>
      </c>
      <c r="N9" s="11">
        <v>1.5</v>
      </c>
      <c r="O9">
        <v>1</v>
      </c>
      <c r="P9" s="263">
        <f t="shared" si="1"/>
        <v>4.5</v>
      </c>
      <c r="Q9" s="207">
        <f t="shared" si="1"/>
        <v>3</v>
      </c>
      <c r="S9" s="65" t="s">
        <v>693</v>
      </c>
      <c r="T9" s="11">
        <v>4</v>
      </c>
      <c r="U9">
        <v>50</v>
      </c>
      <c r="V9" s="263">
        <f t="shared" si="2"/>
        <v>12</v>
      </c>
      <c r="W9" s="207">
        <f t="shared" si="2"/>
        <v>150</v>
      </c>
    </row>
    <row r="10" spans="1:23" x14ac:dyDescent="0.2">
      <c r="A10" s="65" t="s">
        <v>805</v>
      </c>
      <c r="B10" s="11">
        <v>11.6</v>
      </c>
      <c r="C10" s="207">
        <v>45</v>
      </c>
      <c r="E10" s="65" t="s">
        <v>866</v>
      </c>
      <c r="F10" s="11">
        <v>3.17</v>
      </c>
      <c r="G10" s="207">
        <v>15</v>
      </c>
      <c r="H10" s="5"/>
      <c r="I10" s="65" t="s">
        <v>503</v>
      </c>
      <c r="J10" s="11">
        <v>0.64</v>
      </c>
      <c r="K10" s="207">
        <v>5</v>
      </c>
      <c r="M10" s="65" t="s">
        <v>628</v>
      </c>
      <c r="N10" s="11">
        <v>1.88</v>
      </c>
      <c r="O10">
        <v>7</v>
      </c>
      <c r="P10" s="263">
        <f t="shared" si="1"/>
        <v>5.64</v>
      </c>
      <c r="Q10" s="207">
        <f t="shared" si="1"/>
        <v>21</v>
      </c>
      <c r="S10" s="65" t="s">
        <v>696</v>
      </c>
      <c r="T10" s="11">
        <v>7</v>
      </c>
      <c r="U10">
        <v>100</v>
      </c>
      <c r="V10" s="263">
        <f t="shared" si="2"/>
        <v>21</v>
      </c>
      <c r="W10" s="207">
        <f t="shared" si="2"/>
        <v>300</v>
      </c>
    </row>
    <row r="11" spans="1:23" x14ac:dyDescent="0.2">
      <c r="A11" s="65" t="s">
        <v>623</v>
      </c>
      <c r="B11" s="11">
        <v>11.6</v>
      </c>
      <c r="C11" s="207">
        <v>150</v>
      </c>
      <c r="E11" s="65" t="s">
        <v>505</v>
      </c>
      <c r="F11" s="11">
        <v>3.24</v>
      </c>
      <c r="G11" s="207">
        <v>18</v>
      </c>
      <c r="H11" s="5"/>
      <c r="I11" s="65" t="s">
        <v>773</v>
      </c>
      <c r="J11" s="11">
        <v>0.66</v>
      </c>
      <c r="K11" s="207">
        <v>10</v>
      </c>
      <c r="M11" s="65" t="s">
        <v>627</v>
      </c>
      <c r="N11" s="11">
        <v>3.17</v>
      </c>
      <c r="O11">
        <v>20</v>
      </c>
      <c r="P11" s="263">
        <f t="shared" si="1"/>
        <v>9.51</v>
      </c>
      <c r="Q11" s="207">
        <f t="shared" si="1"/>
        <v>60</v>
      </c>
      <c r="S11" s="65" t="s">
        <v>694</v>
      </c>
      <c r="T11" s="11">
        <v>8</v>
      </c>
      <c r="U11">
        <v>130</v>
      </c>
      <c r="V11" s="263">
        <f t="shared" si="2"/>
        <v>24</v>
      </c>
      <c r="W11" s="207">
        <f t="shared" si="2"/>
        <v>390</v>
      </c>
    </row>
    <row r="12" spans="1:23" x14ac:dyDescent="0.2">
      <c r="A12" s="65" t="s">
        <v>673</v>
      </c>
      <c r="B12" s="11">
        <v>12</v>
      </c>
      <c r="C12" s="207">
        <v>40</v>
      </c>
      <c r="E12" s="65" t="s">
        <v>861</v>
      </c>
      <c r="F12" s="11">
        <v>3.32</v>
      </c>
      <c r="G12" s="207">
        <v>30</v>
      </c>
      <c r="H12" s="5"/>
      <c r="I12" s="65" t="s">
        <v>572</v>
      </c>
      <c r="J12" s="11">
        <v>0.7</v>
      </c>
      <c r="K12" s="207">
        <v>5</v>
      </c>
      <c r="M12" s="65" t="s">
        <v>629</v>
      </c>
      <c r="N12" s="11">
        <v>4.21</v>
      </c>
      <c r="O12">
        <v>25</v>
      </c>
      <c r="P12" s="263">
        <f t="shared" si="1"/>
        <v>12.629999999999999</v>
      </c>
      <c r="Q12" s="207">
        <f t="shared" si="1"/>
        <v>75</v>
      </c>
      <c r="S12" s="65"/>
      <c r="T12" s="11"/>
      <c r="V12" s="263">
        <f t="shared" si="2"/>
        <v>0</v>
      </c>
      <c r="W12" s="207">
        <f t="shared" si="2"/>
        <v>0</v>
      </c>
    </row>
    <row r="13" spans="1:23" x14ac:dyDescent="0.2">
      <c r="A13" s="65" t="s">
        <v>621</v>
      </c>
      <c r="B13" s="11">
        <v>12.2</v>
      </c>
      <c r="C13" s="207">
        <v>85</v>
      </c>
      <c r="E13" s="65" t="s">
        <v>880</v>
      </c>
      <c r="F13" s="11">
        <v>3.5</v>
      </c>
      <c r="G13" s="207">
        <v>65</v>
      </c>
      <c r="H13" s="5"/>
      <c r="I13" s="65" t="s">
        <v>779</v>
      </c>
      <c r="J13" s="11">
        <v>0.7</v>
      </c>
      <c r="K13" s="207">
        <v>20</v>
      </c>
      <c r="M13" s="65" t="s">
        <v>727</v>
      </c>
      <c r="N13" s="11">
        <v>4.7699999999999996</v>
      </c>
      <c r="O13">
        <v>45</v>
      </c>
      <c r="P13" s="263">
        <f t="shared" si="1"/>
        <v>14.309999999999999</v>
      </c>
      <c r="Q13" s="207">
        <f t="shared" si="1"/>
        <v>135</v>
      </c>
      <c r="S13" s="65"/>
      <c r="T13" s="11"/>
      <c r="V13" s="263">
        <f t="shared" si="2"/>
        <v>0</v>
      </c>
      <c r="W13" s="207">
        <f t="shared" si="2"/>
        <v>0</v>
      </c>
    </row>
    <row r="14" spans="1:23" x14ac:dyDescent="0.2">
      <c r="A14" s="65" t="s">
        <v>555</v>
      </c>
      <c r="B14" s="11">
        <v>12.75</v>
      </c>
      <c r="C14" s="207">
        <v>245</v>
      </c>
      <c r="E14" s="65" t="s">
        <v>862</v>
      </c>
      <c r="F14" s="11">
        <v>3.8</v>
      </c>
      <c r="G14" s="207">
        <v>4</v>
      </c>
      <c r="H14" s="5"/>
      <c r="I14" s="65" t="s">
        <v>778</v>
      </c>
      <c r="J14" s="11">
        <v>0.73</v>
      </c>
      <c r="K14" s="207">
        <v>3</v>
      </c>
      <c r="M14" s="286" t="s">
        <v>648</v>
      </c>
      <c r="N14" s="145">
        <v>6.25</v>
      </c>
      <c r="O14" s="116">
        <v>40</v>
      </c>
      <c r="P14" s="264">
        <f t="shared" si="1"/>
        <v>18.75</v>
      </c>
      <c r="Q14" s="208">
        <f t="shared" si="1"/>
        <v>120</v>
      </c>
      <c r="S14" s="286"/>
      <c r="T14" s="145"/>
      <c r="U14" s="116"/>
      <c r="V14" s="264">
        <f t="shared" si="2"/>
        <v>0</v>
      </c>
      <c r="W14" s="208">
        <f t="shared" si="2"/>
        <v>0</v>
      </c>
    </row>
    <row r="15" spans="1:23" x14ac:dyDescent="0.2">
      <c r="A15" s="65" t="s">
        <v>819</v>
      </c>
      <c r="B15" s="11">
        <v>13.38</v>
      </c>
      <c r="C15" s="207">
        <v>30</v>
      </c>
      <c r="E15" s="65" t="s">
        <v>632</v>
      </c>
      <c r="F15" s="11">
        <v>3.9</v>
      </c>
      <c r="G15" s="207">
        <v>17</v>
      </c>
      <c r="H15" s="5"/>
      <c r="I15" s="65" t="s">
        <v>811</v>
      </c>
      <c r="J15" s="11">
        <v>0.75</v>
      </c>
      <c r="K15" s="207">
        <v>5</v>
      </c>
    </row>
    <row r="16" spans="1:23" x14ac:dyDescent="0.2">
      <c r="A16" s="65" t="s">
        <v>818</v>
      </c>
      <c r="B16" s="11">
        <v>13.5</v>
      </c>
      <c r="C16" s="207">
        <v>60</v>
      </c>
      <c r="E16" s="65" t="s">
        <v>863</v>
      </c>
      <c r="F16" s="11">
        <v>4</v>
      </c>
      <c r="G16" s="207">
        <v>3</v>
      </c>
      <c r="H16" s="5"/>
      <c r="I16" s="65" t="s">
        <v>646</v>
      </c>
      <c r="J16" s="11">
        <v>0.83</v>
      </c>
      <c r="K16" s="207">
        <v>5</v>
      </c>
      <c r="M16" s="214" t="s">
        <v>720</v>
      </c>
      <c r="N16" s="270" t="s">
        <v>238</v>
      </c>
      <c r="O16" s="271" t="s">
        <v>2</v>
      </c>
      <c r="Q16" s="398" t="s">
        <v>710</v>
      </c>
      <c r="R16" s="399"/>
      <c r="S16" s="280" t="s">
        <v>238</v>
      </c>
      <c r="T16" s="272" t="s">
        <v>2</v>
      </c>
      <c r="V16" s="407" t="s">
        <v>709</v>
      </c>
      <c r="W16" s="408"/>
    </row>
    <row r="17" spans="1:23" x14ac:dyDescent="0.2">
      <c r="A17" s="65" t="s">
        <v>796</v>
      </c>
      <c r="B17" s="11">
        <v>13.66</v>
      </c>
      <c r="C17" s="207">
        <v>100</v>
      </c>
      <c r="E17" s="65" t="s">
        <v>760</v>
      </c>
      <c r="F17" s="11">
        <v>4.04</v>
      </c>
      <c r="G17" s="207">
        <v>15</v>
      </c>
      <c r="H17" s="5"/>
      <c r="I17" s="65" t="s">
        <v>722</v>
      </c>
      <c r="J17" s="11">
        <v>0.85</v>
      </c>
      <c r="K17" s="207">
        <v>65</v>
      </c>
      <c r="M17" s="65" t="s">
        <v>783</v>
      </c>
      <c r="N17" s="11">
        <v>7.0000000000000007E-2</v>
      </c>
      <c r="O17" s="207">
        <v>0</v>
      </c>
      <c r="Q17" s="400" t="s">
        <v>711</v>
      </c>
      <c r="R17" s="401"/>
      <c r="S17" s="11">
        <v>4.8</v>
      </c>
      <c r="T17" s="207">
        <v>135</v>
      </c>
      <c r="V17" s="290" t="s">
        <v>238</v>
      </c>
      <c r="W17" s="291" t="s">
        <v>2</v>
      </c>
    </row>
    <row r="18" spans="1:23" x14ac:dyDescent="0.2">
      <c r="A18" s="65" t="s">
        <v>772</v>
      </c>
      <c r="B18" s="11">
        <v>14.36</v>
      </c>
      <c r="C18" s="207">
        <v>343</v>
      </c>
      <c r="E18" s="65" t="s">
        <v>757</v>
      </c>
      <c r="F18" s="11">
        <v>4.04</v>
      </c>
      <c r="G18" s="207">
        <v>140</v>
      </c>
      <c r="H18" s="5"/>
      <c r="I18" s="65" t="s">
        <v>887</v>
      </c>
      <c r="J18" s="11">
        <v>0.86</v>
      </c>
      <c r="K18" s="207">
        <v>5</v>
      </c>
      <c r="M18" s="65" t="s">
        <v>557</v>
      </c>
      <c r="N18" s="11">
        <v>0.15</v>
      </c>
      <c r="O18" s="207">
        <v>0</v>
      </c>
      <c r="Q18" s="400" t="s">
        <v>721</v>
      </c>
      <c r="R18" s="401"/>
      <c r="S18" s="11">
        <v>7.7</v>
      </c>
      <c r="T18" s="207">
        <v>210</v>
      </c>
      <c r="V18" s="131">
        <v>25</v>
      </c>
      <c r="W18" s="207">
        <v>55</v>
      </c>
    </row>
    <row r="19" spans="1:23" x14ac:dyDescent="0.2">
      <c r="A19" s="65" t="s">
        <v>729</v>
      </c>
      <c r="B19" s="11">
        <v>14.4</v>
      </c>
      <c r="C19" s="207">
        <v>200</v>
      </c>
      <c r="E19" s="65" t="s">
        <v>634</v>
      </c>
      <c r="F19" s="11">
        <v>4.2</v>
      </c>
      <c r="G19" s="207">
        <v>100</v>
      </c>
      <c r="H19" s="5"/>
      <c r="I19" s="65" t="s">
        <v>675</v>
      </c>
      <c r="J19" s="11">
        <v>0.92</v>
      </c>
      <c r="K19" s="207">
        <v>27</v>
      </c>
      <c r="M19" s="65" t="s">
        <v>635</v>
      </c>
      <c r="N19" s="11">
        <v>0.22</v>
      </c>
      <c r="O19" s="207">
        <v>0</v>
      </c>
      <c r="Q19" s="400" t="s">
        <v>712</v>
      </c>
      <c r="R19" s="401"/>
      <c r="S19" s="11">
        <v>10.9</v>
      </c>
      <c r="T19" s="207">
        <v>240</v>
      </c>
      <c r="V19" s="131"/>
      <c r="W19" s="207">
        <v>125</v>
      </c>
    </row>
    <row r="20" spans="1:23" x14ac:dyDescent="0.2">
      <c r="A20" s="65" t="s">
        <v>669</v>
      </c>
      <c r="B20" s="11">
        <v>14.5</v>
      </c>
      <c r="C20" s="207">
        <v>130</v>
      </c>
      <c r="E20" s="65" t="s">
        <v>867</v>
      </c>
      <c r="F20" s="11">
        <v>4.2699999999999996</v>
      </c>
      <c r="G20" s="207">
        <v>100</v>
      </c>
      <c r="H20" s="5"/>
      <c r="I20" s="65" t="s">
        <v>504</v>
      </c>
      <c r="J20" s="11">
        <v>0.93</v>
      </c>
      <c r="K20" s="207">
        <v>20</v>
      </c>
      <c r="M20" s="65" t="s">
        <v>645</v>
      </c>
      <c r="N20" s="11">
        <v>0.22</v>
      </c>
      <c r="O20" s="207">
        <v>5</v>
      </c>
      <c r="Q20" s="400" t="s">
        <v>713</v>
      </c>
      <c r="R20" s="401"/>
      <c r="S20" s="11">
        <v>13.5</v>
      </c>
      <c r="T20" s="207">
        <v>310</v>
      </c>
      <c r="V20" s="131"/>
      <c r="W20" s="207"/>
    </row>
    <row r="21" spans="1:23" x14ac:dyDescent="0.2">
      <c r="A21" s="65" t="s">
        <v>825</v>
      </c>
      <c r="B21" s="11">
        <v>14.6</v>
      </c>
      <c r="C21" s="207">
        <v>115</v>
      </c>
      <c r="E21" s="65" t="s">
        <v>715</v>
      </c>
      <c r="F21" s="11">
        <v>4.5</v>
      </c>
      <c r="G21" s="207">
        <v>30</v>
      </c>
      <c r="H21" s="5"/>
      <c r="I21" s="65" t="s">
        <v>799</v>
      </c>
      <c r="J21" s="11">
        <v>1</v>
      </c>
      <c r="K21" s="207">
        <v>0</v>
      </c>
      <c r="M21" s="65" t="s">
        <v>548</v>
      </c>
      <c r="N21" s="11">
        <v>0.23</v>
      </c>
      <c r="O21" s="207">
        <v>0</v>
      </c>
      <c r="Q21" s="396" t="s">
        <v>105</v>
      </c>
      <c r="R21" s="397"/>
      <c r="S21" s="145">
        <v>14.8</v>
      </c>
      <c r="T21" s="208">
        <v>330</v>
      </c>
      <c r="V21" s="131"/>
      <c r="W21" s="207"/>
    </row>
    <row r="22" spans="1:23" x14ac:dyDescent="0.2">
      <c r="A22" s="65" t="s">
        <v>751</v>
      </c>
      <c r="B22" s="11">
        <v>14.7</v>
      </c>
      <c r="C22" s="207">
        <v>70</v>
      </c>
      <c r="E22" s="65" t="s">
        <v>897</v>
      </c>
      <c r="F22" s="11">
        <v>4.5</v>
      </c>
      <c r="G22" s="207">
        <v>70</v>
      </c>
      <c r="H22" s="5"/>
      <c r="I22" s="65" t="s">
        <v>800</v>
      </c>
      <c r="J22" s="11">
        <v>1</v>
      </c>
      <c r="K22" s="207">
        <v>15</v>
      </c>
      <c r="M22" s="65" t="s">
        <v>659</v>
      </c>
      <c r="N22" s="11">
        <v>0.23</v>
      </c>
      <c r="O22" s="207">
        <v>0</v>
      </c>
      <c r="V22" s="131"/>
      <c r="W22" s="207"/>
    </row>
    <row r="23" spans="1:23" x14ac:dyDescent="0.2">
      <c r="A23" s="65" t="s">
        <v>538</v>
      </c>
      <c r="B23" s="11">
        <v>14.8</v>
      </c>
      <c r="C23" s="207">
        <v>330</v>
      </c>
      <c r="E23" s="65" t="s">
        <v>868</v>
      </c>
      <c r="F23" s="11">
        <v>4.78</v>
      </c>
      <c r="G23" s="207">
        <v>200</v>
      </c>
      <c r="H23" s="5"/>
      <c r="I23" s="65" t="s">
        <v>837</v>
      </c>
      <c r="J23" s="11">
        <v>1.1000000000000001</v>
      </c>
      <c r="K23" s="207">
        <v>17</v>
      </c>
      <c r="M23" s="65" t="s">
        <v>896</v>
      </c>
      <c r="N23" s="11">
        <v>0.3</v>
      </c>
      <c r="O23" s="207">
        <v>0</v>
      </c>
      <c r="Q23" s="398" t="s">
        <v>734</v>
      </c>
      <c r="R23" s="399"/>
      <c r="S23" s="280" t="s">
        <v>238</v>
      </c>
      <c r="T23" s="272" t="s">
        <v>2</v>
      </c>
      <c r="V23" s="131"/>
      <c r="W23" s="207"/>
    </row>
    <row r="24" spans="1:23" x14ac:dyDescent="0.2">
      <c r="A24" s="65" t="s">
        <v>624</v>
      </c>
      <c r="B24" s="11">
        <v>14.86</v>
      </c>
      <c r="C24" s="207">
        <v>245</v>
      </c>
      <c r="E24" s="65" t="s">
        <v>667</v>
      </c>
      <c r="F24" s="11">
        <v>5</v>
      </c>
      <c r="G24" s="207">
        <v>2</v>
      </c>
      <c r="H24" s="5"/>
      <c r="I24" s="65" t="s">
        <v>676</v>
      </c>
      <c r="J24" s="11">
        <v>1.2</v>
      </c>
      <c r="K24" s="207">
        <v>20</v>
      </c>
      <c r="M24" s="65" t="s">
        <v>895</v>
      </c>
      <c r="N24" s="11">
        <v>0.3</v>
      </c>
      <c r="O24" s="207">
        <v>1</v>
      </c>
      <c r="Q24" s="400" t="s">
        <v>860</v>
      </c>
      <c r="R24" s="401"/>
      <c r="S24" s="11">
        <v>15.63</v>
      </c>
      <c r="T24" s="207">
        <v>165</v>
      </c>
      <c r="V24" s="131"/>
      <c r="W24" s="207"/>
    </row>
    <row r="25" spans="1:23" x14ac:dyDescent="0.2">
      <c r="A25" s="65" t="s">
        <v>622</v>
      </c>
      <c r="B25" s="11">
        <v>15.2</v>
      </c>
      <c r="C25" s="207">
        <v>215</v>
      </c>
      <c r="E25" s="65" t="s">
        <v>879</v>
      </c>
      <c r="F25" s="11">
        <v>5</v>
      </c>
      <c r="G25" s="207">
        <v>50</v>
      </c>
      <c r="H25" s="5"/>
      <c r="I25" s="65" t="s">
        <v>677</v>
      </c>
      <c r="J25" s="11">
        <v>1.25</v>
      </c>
      <c r="K25" s="207">
        <v>20</v>
      </c>
      <c r="M25" s="65" t="s">
        <v>894</v>
      </c>
      <c r="N25" s="11">
        <v>0.3</v>
      </c>
      <c r="O25" s="207">
        <v>4</v>
      </c>
      <c r="Q25" s="400" t="s">
        <v>859</v>
      </c>
      <c r="R25" s="401"/>
      <c r="S25" s="11">
        <v>13.84</v>
      </c>
      <c r="T25" s="207">
        <v>110</v>
      </c>
      <c r="V25" s="131"/>
      <c r="W25" s="207"/>
    </row>
    <row r="26" spans="1:23" x14ac:dyDescent="0.2">
      <c r="A26" s="65" t="s">
        <v>534</v>
      </c>
      <c r="B26" s="11">
        <v>15.8</v>
      </c>
      <c r="C26" s="207">
        <v>250</v>
      </c>
      <c r="E26" s="65" t="s">
        <v>869</v>
      </c>
      <c r="F26" s="11">
        <v>5</v>
      </c>
      <c r="G26" s="207">
        <v>54</v>
      </c>
      <c r="H26" s="5"/>
      <c r="I26" s="65" t="s">
        <v>786</v>
      </c>
      <c r="J26" s="11">
        <v>1.3</v>
      </c>
      <c r="K26" s="207">
        <v>0</v>
      </c>
      <c r="M26" s="65" t="s">
        <v>782</v>
      </c>
      <c r="N26" s="11">
        <v>0.31</v>
      </c>
      <c r="O26" s="207">
        <v>130</v>
      </c>
      <c r="Q26" s="400"/>
      <c r="R26" s="401"/>
      <c r="S26" s="11"/>
      <c r="T26" s="207"/>
      <c r="V26" s="131"/>
      <c r="W26" s="207"/>
    </row>
    <row r="27" spans="1:23" x14ac:dyDescent="0.2">
      <c r="A27" s="65" t="s">
        <v>840</v>
      </c>
      <c r="B27" s="11">
        <v>15.899999999999999</v>
      </c>
      <c r="C27" s="207">
        <v>195</v>
      </c>
      <c r="E27" s="65" t="s">
        <v>668</v>
      </c>
      <c r="F27" s="11">
        <v>5</v>
      </c>
      <c r="G27" s="207">
        <v>160</v>
      </c>
      <c r="H27" s="5"/>
      <c r="I27" s="65" t="s">
        <v>678</v>
      </c>
      <c r="J27" s="11">
        <v>1.3</v>
      </c>
      <c r="K27" s="207">
        <v>7</v>
      </c>
      <c r="M27" s="65" t="s">
        <v>500</v>
      </c>
      <c r="N27" s="11">
        <v>0.37</v>
      </c>
      <c r="O27" s="207">
        <v>10</v>
      </c>
      <c r="Q27" s="400"/>
      <c r="R27" s="401"/>
      <c r="S27" s="11"/>
      <c r="T27" s="207"/>
      <c r="V27" s="131"/>
      <c r="W27" s="207"/>
    </row>
    <row r="28" spans="1:23" x14ac:dyDescent="0.2">
      <c r="A28" s="65" t="s">
        <v>771</v>
      </c>
      <c r="B28" s="11">
        <v>16.100000000000001</v>
      </c>
      <c r="C28" s="207">
        <v>160</v>
      </c>
      <c r="E28" s="65" t="s">
        <v>870</v>
      </c>
      <c r="F28" s="11">
        <v>5.13</v>
      </c>
      <c r="G28" s="207">
        <v>130</v>
      </c>
      <c r="H28" s="5"/>
      <c r="I28" s="65" t="s">
        <v>802</v>
      </c>
      <c r="J28" s="11">
        <v>1.4</v>
      </c>
      <c r="K28" s="207">
        <v>5</v>
      </c>
      <c r="M28" s="65" t="s">
        <v>660</v>
      </c>
      <c r="N28" s="11">
        <v>0.4</v>
      </c>
      <c r="O28" s="207">
        <v>0</v>
      </c>
      <c r="Q28" s="396"/>
      <c r="R28" s="397"/>
      <c r="S28" s="145"/>
      <c r="T28" s="208"/>
      <c r="V28" s="131"/>
      <c r="W28" s="207"/>
    </row>
    <row r="29" spans="1:23" x14ac:dyDescent="0.2">
      <c r="A29" s="65" t="s">
        <v>556</v>
      </c>
      <c r="B29" s="11">
        <v>17.7</v>
      </c>
      <c r="C29" s="207">
        <v>345</v>
      </c>
      <c r="E29" s="65" t="s">
        <v>701</v>
      </c>
      <c r="F29" s="11">
        <v>5.15</v>
      </c>
      <c r="G29" s="207">
        <v>25</v>
      </c>
      <c r="H29" s="5"/>
      <c r="I29" s="65" t="s">
        <v>831</v>
      </c>
      <c r="J29" s="11">
        <v>1.4</v>
      </c>
      <c r="K29" s="207">
        <v>28</v>
      </c>
      <c r="M29" s="65" t="s">
        <v>891</v>
      </c>
      <c r="N29" s="11">
        <v>0.41</v>
      </c>
      <c r="O29" s="207">
        <v>5</v>
      </c>
      <c r="V29" s="131"/>
      <c r="W29" s="207"/>
    </row>
    <row r="30" spans="1:23" x14ac:dyDescent="0.2">
      <c r="A30" s="65" t="s">
        <v>666</v>
      </c>
      <c r="B30" s="11">
        <v>19.66</v>
      </c>
      <c r="C30" s="207">
        <v>23</v>
      </c>
      <c r="E30" s="65" t="s">
        <v>871</v>
      </c>
      <c r="F30" s="11">
        <v>5.4</v>
      </c>
      <c r="G30" s="207">
        <v>165</v>
      </c>
      <c r="H30" s="5"/>
      <c r="I30" s="65" t="s">
        <v>809</v>
      </c>
      <c r="J30" s="11">
        <v>1.45</v>
      </c>
      <c r="K30" s="207">
        <v>15</v>
      </c>
      <c r="M30" s="65" t="s">
        <v>890</v>
      </c>
      <c r="N30" s="11">
        <v>0.41</v>
      </c>
      <c r="O30" s="207">
        <v>15</v>
      </c>
      <c r="Q30" s="398" t="s">
        <v>754</v>
      </c>
      <c r="R30" s="399"/>
      <c r="S30" s="280" t="s">
        <v>238</v>
      </c>
      <c r="T30" s="272" t="s">
        <v>2</v>
      </c>
      <c r="V30" s="131"/>
      <c r="W30" s="207"/>
    </row>
    <row r="31" spans="1:23" x14ac:dyDescent="0.2">
      <c r="A31" s="65" t="s">
        <v>544</v>
      </c>
      <c r="B31" s="11">
        <v>20</v>
      </c>
      <c r="C31" s="207">
        <v>120</v>
      </c>
      <c r="E31" s="65" t="s">
        <v>872</v>
      </c>
      <c r="F31" s="11">
        <v>5.5</v>
      </c>
      <c r="G31" s="207">
        <v>60</v>
      </c>
      <c r="H31" s="5"/>
      <c r="I31" s="65" t="s">
        <v>679</v>
      </c>
      <c r="J31" s="11">
        <v>1.47</v>
      </c>
      <c r="K31" s="207">
        <v>26</v>
      </c>
      <c r="M31" s="65" t="s">
        <v>893</v>
      </c>
      <c r="N31" s="11">
        <v>0.43</v>
      </c>
      <c r="O31" s="207">
        <v>0</v>
      </c>
      <c r="Q31" s="400" t="s">
        <v>755</v>
      </c>
      <c r="R31" s="401"/>
      <c r="S31" s="11">
        <v>72.099999999999994</v>
      </c>
      <c r="T31" s="207"/>
      <c r="V31" s="131"/>
      <c r="W31" s="207"/>
    </row>
    <row r="32" spans="1:23" x14ac:dyDescent="0.2">
      <c r="A32" s="65" t="s">
        <v>858</v>
      </c>
      <c r="B32" s="11">
        <v>21.3</v>
      </c>
      <c r="C32" s="207">
        <v>150</v>
      </c>
      <c r="E32" s="65" t="s">
        <v>878</v>
      </c>
      <c r="F32" s="11">
        <v>6</v>
      </c>
      <c r="G32" s="207">
        <v>175</v>
      </c>
      <c r="H32" s="5"/>
      <c r="I32" s="65" t="s">
        <v>732</v>
      </c>
      <c r="J32" s="11">
        <v>1.5</v>
      </c>
      <c r="K32" s="207">
        <v>20</v>
      </c>
      <c r="M32" s="65" t="s">
        <v>892</v>
      </c>
      <c r="N32" s="11">
        <v>0.43</v>
      </c>
      <c r="O32" s="207">
        <v>1</v>
      </c>
      <c r="Q32" s="400" t="s">
        <v>761</v>
      </c>
      <c r="R32" s="401"/>
      <c r="S32" s="11"/>
      <c r="T32" s="207"/>
      <c r="V32" s="132"/>
      <c r="W32" s="208"/>
    </row>
    <row r="33" spans="1:23" x14ac:dyDescent="0.2">
      <c r="A33" s="65" t="s">
        <v>649</v>
      </c>
      <c r="B33" s="11">
        <v>22.9</v>
      </c>
      <c r="C33" s="207">
        <v>153</v>
      </c>
      <c r="E33" s="65" t="s">
        <v>877</v>
      </c>
      <c r="F33" s="11">
        <v>6.1000000000000005</v>
      </c>
      <c r="G33" s="207">
        <v>105</v>
      </c>
      <c r="H33" s="5"/>
      <c r="I33" s="65" t="s">
        <v>680</v>
      </c>
      <c r="J33" s="11">
        <v>1.5</v>
      </c>
      <c r="K33" s="207">
        <v>30</v>
      </c>
      <c r="M33" s="65" t="s">
        <v>798</v>
      </c>
      <c r="N33" s="11">
        <v>0.48</v>
      </c>
      <c r="O33" s="207">
        <v>5</v>
      </c>
      <c r="Q33" s="396" t="s">
        <v>855</v>
      </c>
      <c r="R33" s="397"/>
      <c r="S33" s="145">
        <v>50.1</v>
      </c>
      <c r="T33" s="208"/>
      <c r="V33" s="231">
        <f>SUM(V18:V32)</f>
        <v>25</v>
      </c>
      <c r="W33" s="255">
        <f>SUM(W18:W32)</f>
        <v>180</v>
      </c>
    </row>
    <row r="34" spans="1:23" x14ac:dyDescent="0.2">
      <c r="A34" s="65" t="s">
        <v>671</v>
      </c>
      <c r="B34" s="11">
        <v>23.04</v>
      </c>
      <c r="C34" s="207">
        <v>390</v>
      </c>
      <c r="E34" s="65" t="s">
        <v>873</v>
      </c>
      <c r="F34" s="11">
        <v>6.4</v>
      </c>
      <c r="G34" s="207">
        <v>85</v>
      </c>
      <c r="H34" s="5"/>
      <c r="I34" s="65" t="s">
        <v>828</v>
      </c>
      <c r="J34" s="11">
        <v>1.8</v>
      </c>
      <c r="K34" s="207">
        <v>0</v>
      </c>
      <c r="M34" s="65" t="s">
        <v>718</v>
      </c>
      <c r="N34" s="11">
        <v>0.5</v>
      </c>
      <c r="O34" s="207">
        <v>0</v>
      </c>
    </row>
    <row r="35" spans="1:23" x14ac:dyDescent="0.2">
      <c r="A35" s="65" t="s">
        <v>726</v>
      </c>
      <c r="B35" s="11">
        <v>24.28</v>
      </c>
      <c r="C35" s="207">
        <v>355</v>
      </c>
      <c r="E35" s="65" t="s">
        <v>791</v>
      </c>
      <c r="F35" s="11">
        <v>7</v>
      </c>
      <c r="G35" s="207">
        <v>15</v>
      </c>
      <c r="H35" s="5"/>
      <c r="I35" s="65" t="s">
        <v>829</v>
      </c>
      <c r="J35" s="11">
        <v>1.9</v>
      </c>
      <c r="K35" s="207">
        <v>60</v>
      </c>
      <c r="M35" s="65" t="s">
        <v>661</v>
      </c>
      <c r="N35" s="11">
        <v>0.5</v>
      </c>
      <c r="O35" s="207">
        <v>0</v>
      </c>
      <c r="Q35" s="398" t="s">
        <v>784</v>
      </c>
      <c r="R35" s="399"/>
      <c r="S35" s="270" t="s">
        <v>238</v>
      </c>
      <c r="T35" s="271" t="s">
        <v>2</v>
      </c>
    </row>
    <row r="36" spans="1:23" x14ac:dyDescent="0.2">
      <c r="A36" s="65" t="s">
        <v>549</v>
      </c>
      <c r="B36" s="11">
        <v>29.7</v>
      </c>
      <c r="C36" s="207">
        <v>226</v>
      </c>
      <c r="E36" s="65" t="s">
        <v>886</v>
      </c>
      <c r="F36" s="11">
        <v>8.1</v>
      </c>
      <c r="G36" s="207">
        <v>30</v>
      </c>
      <c r="H36" s="5"/>
      <c r="I36" s="65" t="s">
        <v>502</v>
      </c>
      <c r="J36" s="11">
        <v>2</v>
      </c>
      <c r="K36" s="207">
        <v>2</v>
      </c>
      <c r="M36" s="65" t="s">
        <v>501</v>
      </c>
      <c r="N36" s="11">
        <v>0.5</v>
      </c>
      <c r="O36" s="207">
        <v>5</v>
      </c>
      <c r="Q36" s="409" t="s">
        <v>789</v>
      </c>
      <c r="R36" s="410"/>
      <c r="S36" s="11">
        <v>-3.9699999999999998</v>
      </c>
      <c r="T36" s="207">
        <v>-40</v>
      </c>
    </row>
    <row r="37" spans="1:23" x14ac:dyDescent="0.2">
      <c r="A37" s="65" t="s">
        <v>814</v>
      </c>
      <c r="B37" s="11">
        <v>32</v>
      </c>
      <c r="C37" s="207">
        <v>492</v>
      </c>
      <c r="E37" s="65" t="s">
        <v>704</v>
      </c>
      <c r="F37" s="11">
        <v>9.1</v>
      </c>
      <c r="G37" s="207">
        <v>250</v>
      </c>
      <c r="H37" s="5"/>
      <c r="I37" s="65" t="s">
        <v>765</v>
      </c>
      <c r="J37" s="11">
        <v>2.0499999999999998</v>
      </c>
      <c r="K37" s="207">
        <v>10</v>
      </c>
      <c r="M37" s="65" t="s">
        <v>702</v>
      </c>
      <c r="N37" s="11">
        <v>0.54</v>
      </c>
      <c r="O37" s="207">
        <v>15</v>
      </c>
      <c r="Q37" s="400" t="s">
        <v>785</v>
      </c>
      <c r="R37" s="401"/>
      <c r="S37" s="11">
        <v>-0.67</v>
      </c>
      <c r="T37" s="207">
        <v>-5</v>
      </c>
    </row>
    <row r="38" spans="1:23" x14ac:dyDescent="0.2">
      <c r="A38" s="65" t="s">
        <v>657</v>
      </c>
      <c r="B38" s="11">
        <v>33.5</v>
      </c>
      <c r="C38" s="207">
        <v>275</v>
      </c>
      <c r="E38" s="65" t="s">
        <v>874</v>
      </c>
      <c r="F38" s="11">
        <v>9.3000000000000007</v>
      </c>
      <c r="G38" s="207">
        <v>75</v>
      </c>
      <c r="H38" s="5"/>
      <c r="I38" s="65" t="s">
        <v>733</v>
      </c>
      <c r="J38" s="11">
        <v>2.1</v>
      </c>
      <c r="K38" s="207">
        <v>61</v>
      </c>
      <c r="M38" s="65"/>
      <c r="N38" s="11"/>
      <c r="O38" s="207"/>
      <c r="Q38" s="400" t="s">
        <v>795</v>
      </c>
      <c r="R38" s="401"/>
      <c r="S38" s="11">
        <v>-0.96</v>
      </c>
      <c r="T38" s="207">
        <v>-30</v>
      </c>
    </row>
    <row r="39" spans="1:23" x14ac:dyDescent="0.2">
      <c r="A39" s="65"/>
      <c r="B39" s="11"/>
      <c r="C39" s="207"/>
      <c r="E39" s="65" t="s">
        <v>875</v>
      </c>
      <c r="F39" s="11">
        <v>9.4</v>
      </c>
      <c r="G39" s="207">
        <v>200</v>
      </c>
      <c r="H39" s="5"/>
      <c r="I39" s="65" t="s">
        <v>830</v>
      </c>
      <c r="J39" s="11">
        <v>2.2000000000000002</v>
      </c>
      <c r="K39" s="207">
        <v>5</v>
      </c>
      <c r="M39" s="65"/>
      <c r="N39" s="11"/>
      <c r="O39" s="207"/>
      <c r="Q39" s="400" t="s">
        <v>804</v>
      </c>
      <c r="R39" s="401"/>
      <c r="S39" s="11">
        <v>-0.3</v>
      </c>
      <c r="T39" s="207">
        <v>0</v>
      </c>
    </row>
    <row r="40" spans="1:23" x14ac:dyDescent="0.2">
      <c r="A40" s="65"/>
      <c r="B40" s="11"/>
      <c r="C40" s="207"/>
      <c r="E40" s="65" t="s">
        <v>794</v>
      </c>
      <c r="F40" s="11">
        <v>9.65</v>
      </c>
      <c r="G40" s="207">
        <v>100</v>
      </c>
      <c r="H40" s="5"/>
      <c r="I40" s="65" t="s">
        <v>613</v>
      </c>
      <c r="J40" s="11">
        <v>2.2999999999999998</v>
      </c>
      <c r="K40" s="207">
        <v>10</v>
      </c>
      <c r="M40" s="65"/>
      <c r="N40" s="11"/>
      <c r="O40" s="207"/>
      <c r="Q40" s="400"/>
      <c r="R40" s="401"/>
      <c r="S40" s="11"/>
      <c r="T40" s="207"/>
    </row>
    <row r="41" spans="1:23" x14ac:dyDescent="0.2">
      <c r="A41" s="65"/>
      <c r="B41" s="11"/>
      <c r="C41" s="207"/>
      <c r="E41" s="65" t="s">
        <v>551</v>
      </c>
      <c r="F41" s="11">
        <v>10</v>
      </c>
      <c r="G41" s="207">
        <v>30</v>
      </c>
      <c r="H41" s="5"/>
      <c r="I41" s="65" t="s">
        <v>781</v>
      </c>
      <c r="J41" s="11">
        <v>2.4</v>
      </c>
      <c r="K41" s="207">
        <v>2</v>
      </c>
      <c r="M41" s="65"/>
      <c r="N41" s="11"/>
      <c r="O41" s="207"/>
      <c r="Q41" s="400"/>
      <c r="R41" s="401"/>
      <c r="S41" s="11"/>
      <c r="T41" s="207"/>
    </row>
    <row r="42" spans="1:23" x14ac:dyDescent="0.2">
      <c r="A42" s="65"/>
      <c r="B42" s="11"/>
      <c r="C42" s="207"/>
      <c r="E42" s="65" t="s">
        <v>911</v>
      </c>
      <c r="F42" s="11">
        <v>10.050000000000001</v>
      </c>
      <c r="G42" s="207">
        <v>115</v>
      </c>
      <c r="H42" s="5"/>
      <c r="I42" s="65" t="s">
        <v>787</v>
      </c>
      <c r="J42" s="11">
        <v>2.5</v>
      </c>
      <c r="K42" s="207">
        <v>66</v>
      </c>
      <c r="M42" s="65"/>
      <c r="N42" s="11"/>
      <c r="O42" s="207"/>
      <c r="Q42" s="322"/>
      <c r="R42" s="323"/>
      <c r="S42" s="11"/>
      <c r="T42" s="207"/>
    </row>
    <row r="43" spans="1:23" x14ac:dyDescent="0.2">
      <c r="A43" s="65"/>
      <c r="B43" s="11"/>
      <c r="C43" s="207"/>
      <c r="E43" s="65" t="s">
        <v>839</v>
      </c>
      <c r="F43" s="11">
        <v>10.199999999999999</v>
      </c>
      <c r="G43" s="207">
        <v>145</v>
      </c>
      <c r="H43" s="5"/>
      <c r="I43" s="65" t="s">
        <v>654</v>
      </c>
      <c r="J43" s="11">
        <v>2.6</v>
      </c>
      <c r="K43" s="207">
        <v>49</v>
      </c>
      <c r="M43" s="65"/>
      <c r="N43" s="11"/>
      <c r="O43" s="207"/>
      <c r="Q43" s="322"/>
      <c r="R43" s="323"/>
      <c r="S43" s="11"/>
      <c r="T43" s="207"/>
    </row>
    <row r="44" spans="1:23" x14ac:dyDescent="0.2">
      <c r="A44" s="65"/>
      <c r="B44" s="11"/>
      <c r="C44" s="207"/>
      <c r="E44" s="65" t="s">
        <v>607</v>
      </c>
      <c r="F44" s="11">
        <v>10.3</v>
      </c>
      <c r="G44" s="207">
        <v>100</v>
      </c>
      <c r="H44" s="5"/>
      <c r="I44" s="65" t="s">
        <v>888</v>
      </c>
      <c r="J44" s="11">
        <v>2.85</v>
      </c>
      <c r="K44" s="207">
        <v>70</v>
      </c>
      <c r="M44" s="65"/>
      <c r="N44" s="11"/>
      <c r="O44" s="207"/>
      <c r="Q44" s="322"/>
      <c r="R44" s="323"/>
      <c r="S44" s="11"/>
      <c r="T44" s="207"/>
    </row>
    <row r="45" spans="1:23" x14ac:dyDescent="0.2">
      <c r="A45" s="286"/>
      <c r="B45" s="145"/>
      <c r="C45" s="208"/>
      <c r="E45" s="65" t="s">
        <v>609</v>
      </c>
      <c r="F45" s="11">
        <v>10.62</v>
      </c>
      <c r="G45" s="207">
        <v>50</v>
      </c>
      <c r="H45" s="5"/>
      <c r="I45" s="65"/>
      <c r="J45" s="11"/>
      <c r="K45" s="207"/>
      <c r="M45" s="65"/>
      <c r="N45" s="11"/>
      <c r="O45" s="207"/>
      <c r="Q45" s="322"/>
      <c r="R45" s="323"/>
      <c r="S45" s="11"/>
      <c r="T45" s="207"/>
    </row>
    <row r="46" spans="1:23" x14ac:dyDescent="0.2">
      <c r="E46" s="65" t="s">
        <v>476</v>
      </c>
      <c r="F46" s="11">
        <v>10.65</v>
      </c>
      <c r="G46" s="207">
        <v>40</v>
      </c>
      <c r="I46" s="65"/>
      <c r="J46" s="11"/>
      <c r="K46" s="207"/>
      <c r="M46" s="65"/>
      <c r="N46" s="11"/>
      <c r="O46" s="207"/>
      <c r="Q46" s="322"/>
      <c r="R46" s="323"/>
      <c r="S46" s="11"/>
      <c r="T46" s="207"/>
    </row>
    <row r="47" spans="1:23" x14ac:dyDescent="0.2">
      <c r="A47" s="214" t="s">
        <v>665</v>
      </c>
      <c r="B47" s="280"/>
      <c r="C47" s="272"/>
      <c r="E47" s="65" t="s">
        <v>606</v>
      </c>
      <c r="F47" s="11">
        <v>10.66</v>
      </c>
      <c r="G47" s="207">
        <v>90</v>
      </c>
      <c r="I47" s="65"/>
      <c r="J47" s="11"/>
      <c r="K47" s="207"/>
      <c r="M47" s="65"/>
      <c r="N47" s="11"/>
      <c r="O47" s="207"/>
      <c r="Q47" s="400"/>
      <c r="R47" s="401"/>
      <c r="S47" s="11"/>
      <c r="T47" s="207"/>
    </row>
    <row r="48" spans="1:23" x14ac:dyDescent="0.2">
      <c r="A48" s="283" t="s">
        <v>664</v>
      </c>
      <c r="B48" s="116"/>
      <c r="C48" s="117"/>
      <c r="E48" s="286" t="s">
        <v>876</v>
      </c>
      <c r="F48" s="145">
        <v>10.8</v>
      </c>
      <c r="G48" s="208">
        <v>306</v>
      </c>
      <c r="I48" s="286"/>
      <c r="J48" s="145"/>
      <c r="K48" s="208"/>
      <c r="M48" s="286"/>
      <c r="N48" s="145"/>
      <c r="O48" s="208"/>
      <c r="Q48" s="396"/>
      <c r="R48" s="397"/>
      <c r="S48" s="145"/>
      <c r="T48" s="208"/>
    </row>
  </sheetData>
  <sortState xmlns:xlrd2="http://schemas.microsoft.com/office/spreadsheetml/2017/richdata2" ref="A8:C45">
    <sortCondition ref="B8:B45"/>
  </sortState>
  <mergeCells count="28"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28:R28"/>
    <mergeCell ref="Q23:R23"/>
    <mergeCell ref="Q24:R24"/>
    <mergeCell ref="Q25:R25"/>
    <mergeCell ref="Q26:R26"/>
    <mergeCell ref="Q27:R2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0" customFormat="1" x14ac:dyDescent="0.2">
      <c r="A1" s="161" t="s">
        <v>55</v>
      </c>
      <c r="B1" s="22" t="s">
        <v>0</v>
      </c>
      <c r="C1" s="192" t="s">
        <v>238</v>
      </c>
      <c r="D1" s="305" t="s">
        <v>2</v>
      </c>
      <c r="E1" s="23" t="s">
        <v>237</v>
      </c>
      <c r="F1" s="21" t="s">
        <v>1</v>
      </c>
      <c r="G1" s="24" t="s">
        <v>3</v>
      </c>
    </row>
    <row r="2" spans="1:7" x14ac:dyDescent="0.2">
      <c r="A2" s="1" t="s">
        <v>387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387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593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58</v>
      </c>
      <c r="B5" s="2">
        <v>3.802083333333333E-2</v>
      </c>
      <c r="C5" s="3">
        <v>19.04</v>
      </c>
      <c r="D5" s="72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644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639</v>
      </c>
    </row>
    <row r="7" spans="1:7" x14ac:dyDescent="0.2">
      <c r="A7" s="1" t="s">
        <v>619</v>
      </c>
      <c r="B7" s="2">
        <v>7.2916666666666671E-2</v>
      </c>
      <c r="C7" s="106">
        <v>41.4</v>
      </c>
      <c r="D7" s="13">
        <v>305</v>
      </c>
      <c r="E7" s="12">
        <v>23.657142857142855</v>
      </c>
      <c r="F7">
        <v>380</v>
      </c>
      <c r="G7" s="6" t="s">
        <v>393</v>
      </c>
    </row>
    <row r="8" spans="1:7" x14ac:dyDescent="0.2">
      <c r="A8" s="1" t="s">
        <v>749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639</v>
      </c>
    </row>
    <row r="9" spans="1:7" x14ac:dyDescent="0.2">
      <c r="A9" s="1" t="s">
        <v>856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175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191" t="s">
        <v>6</v>
      </c>
    </row>
    <row r="11" spans="1:7" x14ac:dyDescent="0.2">
      <c r="A11" s="1" t="s">
        <v>914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580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191" t="s">
        <v>393</v>
      </c>
    </row>
    <row r="13" spans="1:7" x14ac:dyDescent="0.2">
      <c r="A13" s="1" t="s">
        <v>560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393</v>
      </c>
    </row>
    <row r="14" spans="1:7" x14ac:dyDescent="0.2">
      <c r="A14" s="1" t="s">
        <v>430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393</v>
      </c>
    </row>
    <row r="15" spans="1:7" x14ac:dyDescent="0.2">
      <c r="A15" s="1" t="s">
        <v>883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13" t="s">
        <v>393</v>
      </c>
    </row>
    <row r="16" spans="1:7" x14ac:dyDescent="0.2">
      <c r="A16" s="1" t="s">
        <v>797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639</v>
      </c>
    </row>
    <row r="17" spans="1:7" x14ac:dyDescent="0.2">
      <c r="A17" s="1" t="s">
        <v>386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767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639</v>
      </c>
    </row>
    <row r="19" spans="1:7" x14ac:dyDescent="0.2">
      <c r="A19" s="1" t="s">
        <v>915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639</v>
      </c>
    </row>
    <row r="20" spans="1:7" x14ac:dyDescent="0.2">
      <c r="A20" s="1" t="s">
        <v>899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639</v>
      </c>
    </row>
    <row r="21" spans="1:7" x14ac:dyDescent="0.2">
      <c r="A21" s="1" t="s">
        <v>507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193" t="s">
        <v>393</v>
      </c>
    </row>
    <row r="22" spans="1:7" x14ac:dyDescent="0.2">
      <c r="A22" s="1" t="s">
        <v>242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651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639</v>
      </c>
    </row>
    <row r="24" spans="1:7" x14ac:dyDescent="0.2">
      <c r="A24" s="1" t="s">
        <v>699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495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768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769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393</v>
      </c>
    </row>
    <row r="28" spans="1:7" x14ac:dyDescent="0.2">
      <c r="A28" s="1" t="s">
        <v>524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56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364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393</v>
      </c>
    </row>
    <row r="31" spans="1:7" x14ac:dyDescent="0.2">
      <c r="A31" s="1" t="s">
        <v>402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6" t="s">
        <v>393</v>
      </c>
    </row>
    <row r="32" spans="1:7" x14ac:dyDescent="0.2">
      <c r="A32" s="1" t="s">
        <v>311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496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545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393</v>
      </c>
    </row>
    <row r="35" spans="1:7" x14ac:dyDescent="0.2">
      <c r="A35" s="1" t="s">
        <v>633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393</v>
      </c>
    </row>
    <row r="36" spans="1:7" x14ac:dyDescent="0.2">
      <c r="A36" s="1" t="s">
        <v>525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393</v>
      </c>
    </row>
    <row r="37" spans="1:7" x14ac:dyDescent="0.2">
      <c r="A37" s="1" t="s">
        <v>59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148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44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774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639</v>
      </c>
    </row>
    <row r="41" spans="1:7" x14ac:dyDescent="0.2">
      <c r="A41" s="1" t="s">
        <v>836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393</v>
      </c>
    </row>
    <row r="42" spans="1:7" x14ac:dyDescent="0.2">
      <c r="A42" s="1" t="s">
        <v>53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546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752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639</v>
      </c>
    </row>
    <row r="45" spans="1:7" x14ac:dyDescent="0.2">
      <c r="A45" s="1" t="s">
        <v>475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393</v>
      </c>
    </row>
    <row r="46" spans="1:7" x14ac:dyDescent="0.2">
      <c r="A46" s="1" t="s">
        <v>300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xmlns:xlrd2="http://schemas.microsoft.com/office/spreadsheetml/2017/richdata2" ref="A2:G46">
    <sortCondition descending="1" ref="D1"/>
  </sortState>
  <conditionalFormatting sqref="E1:E1048576">
    <cfRule type="cellIs" dxfId="1680" priority="149" stopIfTrue="1" operator="between">
      <formula>0</formula>
      <formula>19.99</formula>
    </cfRule>
    <cfRule type="cellIs" dxfId="1679" priority="150" stopIfTrue="1" operator="between">
      <formula>10</formula>
      <formula>24.99</formula>
    </cfRule>
    <cfRule type="cellIs" dxfId="1678" priority="151" stopIfTrue="1" operator="between">
      <formula>25</formula>
      <formula>99.99</formula>
    </cfRule>
  </conditionalFormatting>
  <conditionalFormatting sqref="B1:B1048576">
    <cfRule type="cellIs" dxfId="1677" priority="31" stopIfTrue="1" operator="between">
      <formula>0</formula>
      <formula>0.041666665</formula>
    </cfRule>
    <cfRule type="cellIs" dxfId="1676" priority="32" stopIfTrue="1" operator="between">
      <formula>0.0416666666666667</formula>
      <formula>0.124999884259259</formula>
    </cfRule>
    <cfRule type="cellIs" dxfId="1675" priority="33" stopIfTrue="1" operator="between">
      <formula>0.125</formula>
      <formula>0.166666550925926</formula>
    </cfRule>
    <cfRule type="cellIs" dxfId="1674" priority="34" stopIfTrue="1" operator="between">
      <formula>0.0833333333333333</formula>
      <formula>0.208333217592593</formula>
    </cfRule>
    <cfRule type="cellIs" dxfId="1673" priority="35" stopIfTrue="1" operator="between">
      <formula>0.208333333333333</formula>
      <formula>4.16666655092593</formula>
    </cfRule>
  </conditionalFormatting>
  <conditionalFormatting sqref="F1:F1048576">
    <cfRule type="cellIs" dxfId="1672" priority="25" stopIfTrue="1" operator="between">
      <formula>0</formula>
      <formula>399.99</formula>
    </cfRule>
    <cfRule type="cellIs" dxfId="1671" priority="26" stopIfTrue="1" operator="between">
      <formula>400</formula>
      <formula>449.99</formula>
    </cfRule>
    <cfRule type="cellIs" dxfId="1670" priority="27" stopIfTrue="1" operator="between">
      <formula>450</formula>
      <formula>499.99</formula>
    </cfRule>
    <cfRule type="cellIs" dxfId="1669" priority="28" stopIfTrue="1" operator="between">
      <formula>500</formula>
      <formula>549.99</formula>
    </cfRule>
    <cfRule type="cellIs" dxfId="1668" priority="29" stopIfTrue="1" operator="between">
      <formula>550</formula>
      <formula>599.99</formula>
    </cfRule>
  </conditionalFormatting>
  <conditionalFormatting sqref="F1:F1048576">
    <cfRule type="cellIs" dxfId="1667" priority="30" stopIfTrue="1" operator="between">
      <formula>600</formula>
      <formula>9999.99</formula>
    </cfRule>
  </conditionalFormatting>
  <conditionalFormatting sqref="G1:G1048576">
    <cfRule type="cellIs" dxfId="1666" priority="21" stopIfTrue="1" operator="equal">
      <formula>"CR"</formula>
    </cfRule>
    <cfRule type="cellIs" dxfId="1665" priority="22" stopIfTrue="1" operator="equal">
      <formula>"FB"</formula>
    </cfRule>
    <cfRule type="cellIs" dxfId="1664" priority="23" stopIfTrue="1" operator="equal">
      <formula>"RR"</formula>
    </cfRule>
    <cfRule type="cellIs" dxfId="1663" priority="24" stopIfTrue="1" operator="equal">
      <formula>"MTB"</formula>
    </cfRule>
  </conditionalFormatting>
  <conditionalFormatting sqref="A1:A1048576">
    <cfRule type="expression" dxfId="1662" priority="17" stopIfTrue="1">
      <formula>G1="CR"</formula>
    </cfRule>
    <cfRule type="expression" dxfId="1661" priority="18" stopIfTrue="1">
      <formula>G1="RR"</formula>
    </cfRule>
    <cfRule type="expression" dxfId="1660" priority="19" stopIfTrue="1">
      <formula>G1="FB"</formula>
    </cfRule>
    <cfRule type="expression" dxfId="1659" priority="20" stopIfTrue="1">
      <formula>G1="MTB"</formula>
    </cfRule>
  </conditionalFormatting>
  <conditionalFormatting sqref="C1:C1048576">
    <cfRule type="cellIs" dxfId="1658" priority="7" stopIfTrue="1" operator="between">
      <formula>0</formula>
      <formula>19.99</formula>
    </cfRule>
    <cfRule type="cellIs" dxfId="1657" priority="8" stopIfTrue="1" operator="between">
      <formula>20</formula>
      <formula>49.99</formula>
    </cfRule>
    <cfRule type="cellIs" dxfId="1656" priority="9" stopIfTrue="1" operator="between">
      <formula>50</formula>
      <formula>99.9999</formula>
    </cfRule>
    <cfRule type="cellIs" dxfId="1655" priority="10" stopIfTrue="1" operator="between">
      <formula>100</formula>
      <formula>9999</formula>
    </cfRule>
  </conditionalFormatting>
  <conditionalFormatting sqref="D1:D1048576">
    <cfRule type="cellIs" dxfId="1654" priority="1" stopIfTrue="1" operator="between">
      <formula>0</formula>
      <formula>99.99</formula>
    </cfRule>
    <cfRule type="cellIs" dxfId="1653" priority="2" stopIfTrue="1" operator="between">
      <formula>100</formula>
      <formula>499.99</formula>
    </cfRule>
    <cfRule type="cellIs" dxfId="1652" priority="3" stopIfTrue="1" operator="between">
      <formula>500</formula>
      <formula>999.99</formula>
    </cfRule>
    <cfRule type="cellIs" dxfId="1651" priority="4" stopIfTrue="1" operator="between">
      <formula>1000</formula>
      <formula>1499.99</formula>
    </cfRule>
    <cfRule type="cellIs" dxfId="1650" priority="5" stopIfTrue="1" operator="between">
      <formula>1500</formula>
      <formula>1999.99</formula>
    </cfRule>
  </conditionalFormatting>
  <conditionalFormatting sqref="D1:D1048576">
    <cfRule type="cellIs" dxfId="1649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200-000000000000}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13"/>
  </cols>
  <sheetData>
    <row r="1" spans="1:7" s="155" customFormat="1" x14ac:dyDescent="0.2">
      <c r="A1" s="161" t="s">
        <v>55</v>
      </c>
      <c r="B1" s="22" t="s">
        <v>0</v>
      </c>
      <c r="C1" s="192" t="s">
        <v>238</v>
      </c>
      <c r="D1" s="305" t="s">
        <v>2</v>
      </c>
      <c r="E1" s="23" t="s">
        <v>237</v>
      </c>
      <c r="F1" s="21" t="s">
        <v>1</v>
      </c>
      <c r="G1" s="24" t="s">
        <v>3</v>
      </c>
    </row>
    <row r="2" spans="1:7" x14ac:dyDescent="0.2">
      <c r="A2" s="1" t="s">
        <v>596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643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553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642</v>
      </c>
      <c r="B5" s="2">
        <v>6.9444444444444434E-2</v>
      </c>
      <c r="C5" s="3">
        <v>26</v>
      </c>
      <c r="D5" s="72">
        <v>477</v>
      </c>
      <c r="E5" s="12">
        <v>15.6</v>
      </c>
      <c r="F5" s="13">
        <v>460</v>
      </c>
      <c r="G5" s="6" t="s">
        <v>639</v>
      </c>
    </row>
    <row r="6" spans="1:7" x14ac:dyDescent="0.2">
      <c r="A6" s="1" t="s">
        <v>355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842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64</v>
      </c>
      <c r="B9" s="2">
        <v>5.4479166666666669E-2</v>
      </c>
      <c r="C9" s="106">
        <v>18.03</v>
      </c>
      <c r="D9" s="13">
        <v>464</v>
      </c>
      <c r="E9" s="12">
        <v>13.7</v>
      </c>
      <c r="F9" s="13">
        <v>462</v>
      </c>
      <c r="G9" s="191" t="s">
        <v>6</v>
      </c>
    </row>
    <row r="10" spans="1:7" x14ac:dyDescent="0.2">
      <c r="A10" s="1" t="s">
        <v>653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191" t="s">
        <v>6</v>
      </c>
    </row>
    <row r="11" spans="1:7" x14ac:dyDescent="0.2">
      <c r="A11" s="1" t="s">
        <v>620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497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393</v>
      </c>
    </row>
    <row r="13" spans="1:7" x14ac:dyDescent="0.2">
      <c r="A13" s="1" t="s">
        <v>457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54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193" t="s">
        <v>5</v>
      </c>
    </row>
    <row r="15" spans="1:7" x14ac:dyDescent="0.2">
      <c r="A15" s="1" t="s">
        <v>373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552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577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454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393</v>
      </c>
    </row>
    <row r="19" spans="1:7" x14ac:dyDescent="0.2">
      <c r="A19" s="1" t="s">
        <v>213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209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243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426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470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177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554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6" t="s">
        <v>6</v>
      </c>
    </row>
    <row r="26" spans="1:7" x14ac:dyDescent="0.2">
      <c r="A26" s="1" t="s">
        <v>658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639</v>
      </c>
    </row>
    <row r="27" spans="1:7" x14ac:dyDescent="0.2">
      <c r="A27" s="1" t="s">
        <v>178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638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639</v>
      </c>
    </row>
    <row r="29" spans="1:7" x14ac:dyDescent="0.2">
      <c r="A29" s="1" t="s">
        <v>210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83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47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766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13" t="s">
        <v>639</v>
      </c>
    </row>
    <row r="33" spans="1:12" x14ac:dyDescent="0.2">
      <c r="A33" s="1" t="s">
        <v>458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468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656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639</v>
      </c>
      <c r="H35" s="129"/>
      <c r="L35" s="57"/>
    </row>
    <row r="36" spans="1:12" x14ac:dyDescent="0.2">
      <c r="A36" s="1" t="s">
        <v>541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277"/>
      <c r="I36" s="89"/>
      <c r="J36" s="276"/>
      <c r="K36" s="129"/>
      <c r="L36" s="155"/>
    </row>
    <row r="37" spans="1:12" x14ac:dyDescent="0.2">
      <c r="A37" s="1" t="s">
        <v>48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57"/>
    </row>
    <row r="38" spans="1:12" x14ac:dyDescent="0.2">
      <c r="A38" s="1" t="s">
        <v>160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57"/>
    </row>
    <row r="39" spans="1:12" x14ac:dyDescent="0.2">
      <c r="A39" s="1" t="s">
        <v>366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936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393</v>
      </c>
    </row>
    <row r="41" spans="1:12" x14ac:dyDescent="0.2">
      <c r="A41" s="1" t="s">
        <v>616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935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393</v>
      </c>
    </row>
    <row r="43" spans="1:12" x14ac:dyDescent="0.2">
      <c r="A43" s="1" t="s">
        <v>617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618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360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937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363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764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xmlns:xlrd2="http://schemas.microsoft.com/office/spreadsheetml/2017/richdata2" ref="A2:G48">
    <sortCondition descending="1" ref="D1"/>
  </sortState>
  <phoneticPr fontId="0" type="noConversion"/>
  <conditionalFormatting sqref="F1:F1048576">
    <cfRule type="cellIs" dxfId="1648" priority="28" stopIfTrue="1" operator="between">
      <formula>0</formula>
      <formula>399.99</formula>
    </cfRule>
    <cfRule type="cellIs" dxfId="1647" priority="29" stopIfTrue="1" operator="between">
      <formula>400</formula>
      <formula>449.99</formula>
    </cfRule>
    <cfRule type="cellIs" dxfId="1646" priority="30" stopIfTrue="1" operator="between">
      <formula>450</formula>
      <formula>499.99</formula>
    </cfRule>
    <cfRule type="cellIs" dxfId="1645" priority="31" stopIfTrue="1" operator="between">
      <formula>500</formula>
      <formula>549.99</formula>
    </cfRule>
    <cfRule type="cellIs" dxfId="1644" priority="32" stopIfTrue="1" operator="between">
      <formula>550</formula>
      <formula>599.99</formula>
    </cfRule>
  </conditionalFormatting>
  <conditionalFormatting sqref="F1:F1048576">
    <cfRule type="cellIs" dxfId="1643" priority="33" stopIfTrue="1" operator="between">
      <formula>600</formula>
      <formula>9999.99</formula>
    </cfRule>
  </conditionalFormatting>
  <conditionalFormatting sqref="B1:B1048576">
    <cfRule type="cellIs" dxfId="1642" priority="37" stopIfTrue="1" operator="between">
      <formula>0</formula>
      <formula>0.041666665</formula>
    </cfRule>
    <cfRule type="cellIs" dxfId="1641" priority="38" stopIfTrue="1" operator="between">
      <formula>0.0416666666666667</formula>
      <formula>0.124999884259259</formula>
    </cfRule>
    <cfRule type="cellIs" dxfId="1640" priority="51" stopIfTrue="1" operator="between">
      <formula>0.125</formula>
      <formula>0.166666550925926</formula>
    </cfRule>
    <cfRule type="cellIs" dxfId="1639" priority="52" stopIfTrue="1" operator="between">
      <formula>0.0833333333333333</formula>
      <formula>0.208333217592593</formula>
    </cfRule>
    <cfRule type="cellIs" dxfId="1638" priority="53" stopIfTrue="1" operator="between">
      <formula>0.208333333333333</formula>
      <formula>4.16666655092593</formula>
    </cfRule>
  </conditionalFormatting>
  <conditionalFormatting sqref="E1:E1048576">
    <cfRule type="cellIs" dxfId="1637" priority="48" stopIfTrue="1" operator="between">
      <formula>0</formula>
      <formula>19.99</formula>
    </cfRule>
    <cfRule type="cellIs" dxfId="1636" priority="49" stopIfTrue="1" operator="between">
      <formula>10</formula>
      <formula>24.99</formula>
    </cfRule>
    <cfRule type="cellIs" dxfId="1635" priority="50" stopIfTrue="1" operator="between">
      <formula>25</formula>
      <formula>99.99</formula>
    </cfRule>
  </conditionalFormatting>
  <conditionalFormatting sqref="A1:A1048576">
    <cfRule type="expression" dxfId="1634" priority="21" stopIfTrue="1">
      <formula>G1="CR"</formula>
    </cfRule>
    <cfRule type="expression" dxfId="1633" priority="22" stopIfTrue="1">
      <formula>G1="RR"</formula>
    </cfRule>
    <cfRule type="expression" dxfId="1632" priority="23" stopIfTrue="1">
      <formula>G1="FB"</formula>
    </cfRule>
    <cfRule type="expression" dxfId="1631" priority="24" stopIfTrue="1">
      <formula>G1="MTB"</formula>
    </cfRule>
  </conditionalFormatting>
  <conditionalFormatting sqref="G1:G1048576">
    <cfRule type="cellIs" dxfId="1630" priority="11" stopIfTrue="1" operator="equal">
      <formula>"CR"</formula>
    </cfRule>
    <cfRule type="cellIs" dxfId="1629" priority="12" stopIfTrue="1" operator="equal">
      <formula>"FB"</formula>
    </cfRule>
    <cfRule type="cellIs" dxfId="1628" priority="13" stopIfTrue="1" operator="equal">
      <formula>"RR"</formula>
    </cfRule>
    <cfRule type="cellIs" dxfId="1627" priority="14" stopIfTrue="1" operator="equal">
      <formula>"MTB"</formula>
    </cfRule>
  </conditionalFormatting>
  <conditionalFormatting sqref="C1:C1048576">
    <cfRule type="cellIs" dxfId="1626" priority="7" stopIfTrue="1" operator="between">
      <formula>0</formula>
      <formula>19.99</formula>
    </cfRule>
    <cfRule type="cellIs" dxfId="1625" priority="8" stopIfTrue="1" operator="between">
      <formula>20</formula>
      <formula>49.99</formula>
    </cfRule>
    <cfRule type="cellIs" dxfId="1624" priority="9" stopIfTrue="1" operator="between">
      <formula>50</formula>
      <formula>99.9999</formula>
    </cfRule>
    <cfRule type="cellIs" dxfId="1623" priority="10" stopIfTrue="1" operator="between">
      <formula>100</formula>
      <formula>9999</formula>
    </cfRule>
  </conditionalFormatting>
  <conditionalFormatting sqref="D1:D1048576">
    <cfRule type="cellIs" dxfId="1622" priority="1" stopIfTrue="1" operator="between">
      <formula>0</formula>
      <formula>99.99</formula>
    </cfRule>
    <cfRule type="cellIs" dxfId="1621" priority="2" stopIfTrue="1" operator="between">
      <formula>100</formula>
      <formula>499.99</formula>
    </cfRule>
    <cfRule type="cellIs" dxfId="1620" priority="3" stopIfTrue="1" operator="between">
      <formula>500</formula>
      <formula>999.99</formula>
    </cfRule>
    <cfRule type="cellIs" dxfId="1619" priority="4" stopIfTrue="1" operator="between">
      <formula>1000</formula>
      <formula>1499.99</formula>
    </cfRule>
    <cfRule type="cellIs" dxfId="1618" priority="5" stopIfTrue="1" operator="between">
      <formula>1500</formula>
      <formula>1999.99</formula>
    </cfRule>
  </conditionalFormatting>
  <conditionalFormatting sqref="D1:D1048576">
    <cfRule type="cellIs" dxfId="1617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6384" width="11.42578125" style="113"/>
  </cols>
  <sheetData>
    <row r="1" spans="1:8" s="155" customFormat="1" x14ac:dyDescent="0.2">
      <c r="A1" s="29" t="s">
        <v>55</v>
      </c>
      <c r="B1" s="22" t="s">
        <v>0</v>
      </c>
      <c r="C1" s="192" t="s">
        <v>238</v>
      </c>
      <c r="D1" s="305" t="s">
        <v>2</v>
      </c>
      <c r="E1" s="23" t="s">
        <v>237</v>
      </c>
      <c r="F1" s="21" t="s">
        <v>1</v>
      </c>
      <c r="G1" s="42" t="s">
        <v>217</v>
      </c>
      <c r="H1" s="24" t="s">
        <v>3</v>
      </c>
    </row>
    <row r="2" spans="1:8" x14ac:dyDescent="0.2">
      <c r="A2" s="1" t="s">
        <v>185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89">
        <v>311</v>
      </c>
      <c r="H2" s="6" t="s">
        <v>5</v>
      </c>
    </row>
    <row r="3" spans="1:8" x14ac:dyDescent="0.2">
      <c r="A3" s="1" t="s">
        <v>464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89">
        <v>332</v>
      </c>
      <c r="H3" s="6" t="s">
        <v>5</v>
      </c>
    </row>
    <row r="4" spans="1:8" x14ac:dyDescent="0.2">
      <c r="A4" s="1" t="s">
        <v>181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89">
        <v>323</v>
      </c>
      <c r="H4" s="6" t="s">
        <v>5</v>
      </c>
    </row>
    <row r="5" spans="1:8" x14ac:dyDescent="0.2">
      <c r="A5" s="1" t="s">
        <v>822</v>
      </c>
      <c r="B5" s="2">
        <v>0.10045662100456622</v>
      </c>
      <c r="C5" s="11">
        <v>52.800000000000004</v>
      </c>
      <c r="D5">
        <v>732</v>
      </c>
      <c r="E5" s="12">
        <v>21.9</v>
      </c>
      <c r="F5" s="72">
        <v>505</v>
      </c>
      <c r="G5" s="89">
        <v>284</v>
      </c>
      <c r="H5" t="s">
        <v>5</v>
      </c>
    </row>
    <row r="6" spans="1:8" x14ac:dyDescent="0.2">
      <c r="A6" s="1" t="s">
        <v>394</v>
      </c>
      <c r="B6" s="2">
        <v>0.10210648148148149</v>
      </c>
      <c r="C6" s="3">
        <v>34.93</v>
      </c>
      <c r="D6" s="72">
        <v>721</v>
      </c>
      <c r="E6" s="12">
        <v>14.2</v>
      </c>
      <c r="F6" s="13">
        <v>456</v>
      </c>
      <c r="G6" s="89">
        <v>300</v>
      </c>
      <c r="H6" s="6" t="s">
        <v>6</v>
      </c>
    </row>
    <row r="7" spans="1:8" x14ac:dyDescent="0.2">
      <c r="A7" s="1" t="s">
        <v>248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89">
        <v>204</v>
      </c>
      <c r="H7" t="s">
        <v>5</v>
      </c>
    </row>
    <row r="8" spans="1:8" x14ac:dyDescent="0.2">
      <c r="A8" s="1" t="s">
        <v>610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89">
        <v>210</v>
      </c>
      <c r="H8" s="6" t="s">
        <v>5</v>
      </c>
    </row>
    <row r="9" spans="1:8" x14ac:dyDescent="0.2">
      <c r="A9" s="1" t="s">
        <v>724</v>
      </c>
      <c r="B9" s="2">
        <v>7.2124756335282647E-2</v>
      </c>
      <c r="C9" s="106">
        <v>29.6</v>
      </c>
      <c r="D9" s="13">
        <v>710</v>
      </c>
      <c r="E9" s="12">
        <v>17.100000000000001</v>
      </c>
      <c r="F9" s="13">
        <v>420</v>
      </c>
      <c r="G9" s="89">
        <v>290</v>
      </c>
      <c r="H9" s="113" t="s">
        <v>639</v>
      </c>
    </row>
    <row r="10" spans="1:8" x14ac:dyDescent="0.2">
      <c r="A10" s="1" t="s">
        <v>442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89">
        <v>222</v>
      </c>
      <c r="H10" s="191" t="s">
        <v>393</v>
      </c>
    </row>
    <row r="11" spans="1:8" x14ac:dyDescent="0.2">
      <c r="A11" s="1" t="s">
        <v>526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89">
        <v>303</v>
      </c>
      <c r="H11" s="191" t="s">
        <v>5</v>
      </c>
    </row>
    <row r="12" spans="1:8" x14ac:dyDescent="0.2">
      <c r="A12" s="1" t="s">
        <v>259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89">
        <v>355</v>
      </c>
      <c r="H12" s="6" t="s">
        <v>6</v>
      </c>
    </row>
    <row r="13" spans="1:8" x14ac:dyDescent="0.2">
      <c r="A13" s="1" t="s">
        <v>356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89">
        <v>323</v>
      </c>
      <c r="H13" s="6" t="s">
        <v>393</v>
      </c>
    </row>
    <row r="14" spans="1:8" x14ac:dyDescent="0.2">
      <c r="A14" s="1" t="s">
        <v>286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89">
        <v>204</v>
      </c>
      <c r="H14" s="6" t="s">
        <v>5</v>
      </c>
    </row>
    <row r="15" spans="1:8" x14ac:dyDescent="0.2">
      <c r="A15" s="1" t="s">
        <v>889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72">
        <v>457</v>
      </c>
      <c r="G15" s="89">
        <v>290</v>
      </c>
      <c r="H15" t="s">
        <v>5</v>
      </c>
    </row>
    <row r="16" spans="1:8" x14ac:dyDescent="0.2">
      <c r="A16" s="1" t="s">
        <v>285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89">
        <v>204</v>
      </c>
      <c r="H16" s="193" t="s">
        <v>5</v>
      </c>
    </row>
    <row r="17" spans="1:8" x14ac:dyDescent="0.2">
      <c r="A17" s="1" t="s">
        <v>683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89">
        <v>328</v>
      </c>
      <c r="H17" s="6" t="s">
        <v>6</v>
      </c>
    </row>
    <row r="18" spans="1:8" x14ac:dyDescent="0.2">
      <c r="A18" s="1" t="s">
        <v>241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89">
        <v>303</v>
      </c>
      <c r="H18" t="s">
        <v>5</v>
      </c>
    </row>
    <row r="19" spans="1:8" x14ac:dyDescent="0.2">
      <c r="A19" s="1" t="s">
        <v>252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89">
        <v>225</v>
      </c>
      <c r="H19" s="6" t="s">
        <v>5</v>
      </c>
    </row>
    <row r="20" spans="1:8" x14ac:dyDescent="0.2">
      <c r="A20" s="1" t="s">
        <v>251</v>
      </c>
      <c r="B20" s="2">
        <v>0.1076388888888889</v>
      </c>
      <c r="C20" s="11">
        <v>66</v>
      </c>
      <c r="D20" s="13">
        <v>620</v>
      </c>
      <c r="E20" s="12">
        <v>25.5</v>
      </c>
      <c r="F20" s="13">
        <v>544</v>
      </c>
      <c r="G20" s="89">
        <v>288</v>
      </c>
      <c r="H20" t="s">
        <v>5</v>
      </c>
    </row>
    <row r="21" spans="1:8" x14ac:dyDescent="0.2">
      <c r="A21" s="1" t="s">
        <v>717</v>
      </c>
      <c r="B21" s="2">
        <v>8.3333333333333329E-2</v>
      </c>
      <c r="C21" s="3">
        <v>31.6</v>
      </c>
      <c r="D21" s="13">
        <v>616</v>
      </c>
      <c r="E21" s="12">
        <v>15.8</v>
      </c>
      <c r="F21" s="13">
        <v>460</v>
      </c>
      <c r="G21" s="89">
        <v>140</v>
      </c>
      <c r="H21" t="s">
        <v>639</v>
      </c>
    </row>
    <row r="22" spans="1:8" x14ac:dyDescent="0.2">
      <c r="A22" s="1" t="s">
        <v>372</v>
      </c>
      <c r="B22" s="2">
        <v>0.11120370370370369</v>
      </c>
      <c r="C22" s="14">
        <v>34.17</v>
      </c>
      <c r="D22" s="8">
        <v>615</v>
      </c>
      <c r="E22" s="12">
        <v>12.8</v>
      </c>
      <c r="F22" s="13">
        <v>456</v>
      </c>
      <c r="G22" s="89">
        <v>300</v>
      </c>
      <c r="H22" s="6" t="s">
        <v>6</v>
      </c>
    </row>
    <row r="23" spans="1:8" x14ac:dyDescent="0.2">
      <c r="A23" s="1" t="s">
        <v>389</v>
      </c>
      <c r="B23" s="2">
        <v>9.4768518518518516E-2</v>
      </c>
      <c r="C23" s="14">
        <v>49.36</v>
      </c>
      <c r="D23" s="13">
        <v>611</v>
      </c>
      <c r="E23" s="12">
        <v>21.7</v>
      </c>
      <c r="F23" s="13">
        <v>315</v>
      </c>
      <c r="G23" s="89">
        <v>177</v>
      </c>
      <c r="H23" t="s">
        <v>5</v>
      </c>
    </row>
    <row r="24" spans="1:8" x14ac:dyDescent="0.2">
      <c r="A24" s="1" t="s">
        <v>188</v>
      </c>
      <c r="B24" s="2">
        <v>8.5567129629629632E-2</v>
      </c>
      <c r="C24" s="3">
        <v>30.11</v>
      </c>
      <c r="D24" s="13">
        <v>606</v>
      </c>
      <c r="E24" s="12">
        <v>14.6</v>
      </c>
      <c r="F24" s="13">
        <v>512</v>
      </c>
      <c r="G24" s="89">
        <v>320</v>
      </c>
      <c r="H24" s="6" t="s">
        <v>6</v>
      </c>
    </row>
    <row r="25" spans="1:8" x14ac:dyDescent="0.2">
      <c r="A25" s="1" t="s">
        <v>700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89">
        <v>337</v>
      </c>
      <c r="H25" s="16" t="s">
        <v>6</v>
      </c>
    </row>
    <row r="26" spans="1:8" x14ac:dyDescent="0.2">
      <c r="A26" s="1" t="s">
        <v>455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89">
        <v>200</v>
      </c>
      <c r="H26" t="s">
        <v>393</v>
      </c>
    </row>
    <row r="27" spans="1:8" x14ac:dyDescent="0.2">
      <c r="A27" s="1" t="s">
        <v>824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89">
        <v>319</v>
      </c>
      <c r="H27" t="s">
        <v>639</v>
      </c>
    </row>
    <row r="28" spans="1:8" x14ac:dyDescent="0.2">
      <c r="A28" s="1" t="s">
        <v>703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89">
        <v>219</v>
      </c>
      <c r="H28" t="s">
        <v>393</v>
      </c>
    </row>
    <row r="29" spans="1:8" x14ac:dyDescent="0.2">
      <c r="A29" s="1" t="s">
        <v>453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89">
        <v>290</v>
      </c>
      <c r="H29" s="6" t="s">
        <v>393</v>
      </c>
    </row>
    <row r="30" spans="1:8" x14ac:dyDescent="0.2">
      <c r="A30" s="1" t="s">
        <v>469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89">
        <v>325</v>
      </c>
      <c r="H30" s="6" t="s">
        <v>6</v>
      </c>
    </row>
    <row r="31" spans="1:8" x14ac:dyDescent="0.2">
      <c r="A31" s="1" t="s">
        <v>946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72">
        <v>544</v>
      </c>
      <c r="G31" s="89">
        <v>314</v>
      </c>
      <c r="H31" t="s">
        <v>5</v>
      </c>
    </row>
    <row r="32" spans="1:8" x14ac:dyDescent="0.2">
      <c r="A32" s="1" t="s">
        <v>685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89">
        <v>284</v>
      </c>
      <c r="H32" s="6" t="s">
        <v>5</v>
      </c>
    </row>
    <row r="33" spans="1:8" x14ac:dyDescent="0.2">
      <c r="A33" s="1" t="s">
        <v>684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89">
        <v>314</v>
      </c>
      <c r="H33" s="6" t="s">
        <v>5</v>
      </c>
    </row>
    <row r="34" spans="1:8" x14ac:dyDescent="0.2">
      <c r="A34" s="1" t="s">
        <v>663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89">
        <v>200</v>
      </c>
      <c r="H34" s="6" t="s">
        <v>639</v>
      </c>
    </row>
    <row r="35" spans="1:8" x14ac:dyDescent="0.2">
      <c r="A35" s="1" t="s">
        <v>180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89">
        <v>218</v>
      </c>
      <c r="H35" t="s">
        <v>5</v>
      </c>
    </row>
    <row r="36" spans="1:8" x14ac:dyDescent="0.2">
      <c r="A36" s="1" t="s">
        <v>307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89">
        <v>284</v>
      </c>
      <c r="H36" s="6" t="s">
        <v>5</v>
      </c>
    </row>
    <row r="37" spans="1:8" x14ac:dyDescent="0.2">
      <c r="A37" s="1" t="s">
        <v>547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89">
        <v>288</v>
      </c>
      <c r="H37" t="s">
        <v>6</v>
      </c>
    </row>
    <row r="38" spans="1:8" x14ac:dyDescent="0.2">
      <c r="A38" s="1" t="s">
        <v>723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89">
        <v>310</v>
      </c>
      <c r="H38" t="s">
        <v>393</v>
      </c>
    </row>
    <row r="39" spans="1:8" x14ac:dyDescent="0.2">
      <c r="A39" s="1" t="s">
        <v>527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89">
        <v>230</v>
      </c>
      <c r="H39" t="s">
        <v>5</v>
      </c>
    </row>
    <row r="40" spans="1:8" x14ac:dyDescent="0.2">
      <c r="A40" s="1" t="s">
        <v>682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89">
        <v>275</v>
      </c>
      <c r="H40" t="s">
        <v>393</v>
      </c>
    </row>
    <row r="41" spans="1:8" x14ac:dyDescent="0.2">
      <c r="A41" s="1" t="s">
        <v>882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89">
        <v>309</v>
      </c>
      <c r="H41" t="s">
        <v>6</v>
      </c>
    </row>
    <row r="42" spans="1:8" x14ac:dyDescent="0.2">
      <c r="A42" s="1" t="s">
        <v>550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89">
        <v>323</v>
      </c>
      <c r="H42" t="s">
        <v>393</v>
      </c>
    </row>
    <row r="43" spans="1:8" x14ac:dyDescent="0.2">
      <c r="A43" s="1" t="s">
        <v>256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89">
        <v>290</v>
      </c>
      <c r="H43" t="s">
        <v>6</v>
      </c>
    </row>
    <row r="44" spans="1:8" x14ac:dyDescent="0.2">
      <c r="A44" s="1" t="s">
        <v>763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89">
        <v>293</v>
      </c>
      <c r="H44" t="s">
        <v>5</v>
      </c>
    </row>
    <row r="45" spans="1:8" x14ac:dyDescent="0.2">
      <c r="A45" s="1" t="s">
        <v>587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89">
        <v>285</v>
      </c>
      <c r="H45" t="s">
        <v>393</v>
      </c>
    </row>
  </sheetData>
  <sortState xmlns:xlrd2="http://schemas.microsoft.com/office/spreadsheetml/2017/richdata2" ref="A2:H45">
    <sortCondition descending="1" ref="D1:D45"/>
  </sortState>
  <conditionalFormatting sqref="A1:A1048576">
    <cfRule type="expression" dxfId="1616" priority="11" stopIfTrue="1">
      <formula>H1="CR"</formula>
    </cfRule>
    <cfRule type="expression" dxfId="1615" priority="39" stopIfTrue="1">
      <formula>H1="RR"</formula>
    </cfRule>
    <cfRule type="expression" dxfId="1614" priority="40" stopIfTrue="1">
      <formula>H1="FB"</formula>
    </cfRule>
    <cfRule type="expression" dxfId="1613" priority="41">
      <formula>H1="MTB"</formula>
    </cfRule>
  </conditionalFormatting>
  <conditionalFormatting sqref="F1:F1048576">
    <cfRule type="cellIs" dxfId="1612" priority="22" stopIfTrue="1" operator="between">
      <formula>0</formula>
      <formula>399.99</formula>
    </cfRule>
    <cfRule type="cellIs" dxfId="1611" priority="23" stopIfTrue="1" operator="between">
      <formula>400</formula>
      <formula>449.99</formula>
    </cfRule>
    <cfRule type="cellIs" dxfId="1610" priority="24" stopIfTrue="1" operator="between">
      <formula>450</formula>
      <formula>499.99</formula>
    </cfRule>
    <cfRule type="cellIs" dxfId="1609" priority="25" stopIfTrue="1" operator="between">
      <formula>500</formula>
      <formula>549.99</formula>
    </cfRule>
    <cfRule type="cellIs" dxfId="1608" priority="26" stopIfTrue="1" operator="between">
      <formula>550</formula>
      <formula>599.99</formula>
    </cfRule>
  </conditionalFormatting>
  <conditionalFormatting sqref="F1:F1048576">
    <cfRule type="cellIs" dxfId="1607" priority="27" stopIfTrue="1" operator="between">
      <formula>600</formula>
      <formula>9999.99</formula>
    </cfRule>
  </conditionalFormatting>
  <conditionalFormatting sqref="G1:G1048576">
    <cfRule type="cellIs" dxfId="1606" priority="51" operator="between">
      <formula>400</formula>
      <formula>9999.99</formula>
    </cfRule>
    <cfRule type="cellIs" dxfId="1605" priority="52" operator="between">
      <formula>300</formula>
      <formula>399.99</formula>
    </cfRule>
    <cfRule type="cellIs" dxfId="1604" priority="53" operator="between">
      <formula>0</formula>
      <formula>299.99</formula>
    </cfRule>
  </conditionalFormatting>
  <conditionalFormatting sqref="B1:B1048576">
    <cfRule type="cellIs" dxfId="1603" priority="31" stopIfTrue="1" operator="between">
      <formula>0</formula>
      <formula>0.041666665</formula>
    </cfRule>
    <cfRule type="cellIs" dxfId="1602" priority="32" stopIfTrue="1" operator="between">
      <formula>0.0416666666666667</formula>
      <formula>0.124999884259259</formula>
    </cfRule>
    <cfRule type="cellIs" dxfId="1601" priority="48" stopIfTrue="1" operator="between">
      <formula>0.125</formula>
      <formula>0.166666550925926</formula>
    </cfRule>
    <cfRule type="cellIs" dxfId="1600" priority="49" stopIfTrue="1" operator="between">
      <formula>0.0833333333333333</formula>
      <formula>0.208333217592593</formula>
    </cfRule>
    <cfRule type="cellIs" dxfId="1599" priority="50" stopIfTrue="1" operator="between">
      <formula>0.208333333333333</formula>
      <formula>4.16666655092593</formula>
    </cfRule>
  </conditionalFormatting>
  <conditionalFormatting sqref="E1:E1048576">
    <cfRule type="cellIs" dxfId="1598" priority="45" stopIfTrue="1" operator="between">
      <formula>0</formula>
      <formula>19.99</formula>
    </cfRule>
    <cfRule type="cellIs" dxfId="1597" priority="46" stopIfTrue="1" operator="between">
      <formula>10</formula>
      <formula>24.99</formula>
    </cfRule>
    <cfRule type="cellIs" dxfId="1596" priority="47" stopIfTrue="1" operator="between">
      <formula>25</formula>
      <formula>99.99</formula>
    </cfRule>
  </conditionalFormatting>
  <conditionalFormatting sqref="H1:H1048576">
    <cfRule type="cellIs" dxfId="1595" priority="12" stopIfTrue="1" operator="equal">
      <formula>"CR"</formula>
    </cfRule>
    <cfRule type="cellIs" dxfId="1594" priority="13" stopIfTrue="1" operator="equal">
      <formula>"FB"</formula>
    </cfRule>
    <cfRule type="cellIs" dxfId="1593" priority="14" stopIfTrue="1" operator="equal">
      <formula>"RR"</formula>
    </cfRule>
    <cfRule type="cellIs" dxfId="1592" priority="15" stopIfTrue="1" operator="equal">
      <formula>"MTB"</formula>
    </cfRule>
  </conditionalFormatting>
  <conditionalFormatting sqref="C1:C1048576">
    <cfRule type="cellIs" dxfId="1591" priority="7" stopIfTrue="1" operator="between">
      <formula>0</formula>
      <formula>19.99</formula>
    </cfRule>
    <cfRule type="cellIs" dxfId="1590" priority="8" stopIfTrue="1" operator="between">
      <formula>20</formula>
      <formula>49.99</formula>
    </cfRule>
    <cfRule type="cellIs" dxfId="1589" priority="9" stopIfTrue="1" operator="between">
      <formula>50</formula>
      <formula>99.9999</formula>
    </cfRule>
    <cfRule type="cellIs" dxfId="1588" priority="10" stopIfTrue="1" operator="between">
      <formula>100</formula>
      <formula>9999</formula>
    </cfRule>
  </conditionalFormatting>
  <conditionalFormatting sqref="D1:D1048576">
    <cfRule type="cellIs" dxfId="1587" priority="1" stopIfTrue="1" operator="between">
      <formula>0</formula>
      <formula>99.99</formula>
    </cfRule>
    <cfRule type="cellIs" dxfId="1586" priority="2" stopIfTrue="1" operator="between">
      <formula>100</formula>
      <formula>499.99</formula>
    </cfRule>
    <cfRule type="cellIs" dxfId="1585" priority="3" stopIfTrue="1" operator="between">
      <formula>500</formula>
      <formula>999.99</formula>
    </cfRule>
    <cfRule type="cellIs" dxfId="1584" priority="4" stopIfTrue="1" operator="between">
      <formula>1000</formula>
      <formula>1499.99</formula>
    </cfRule>
    <cfRule type="cellIs" dxfId="1583" priority="5" stopIfTrue="1" operator="between">
      <formula>1500</formula>
      <formula>1999.99</formula>
    </cfRule>
  </conditionalFormatting>
  <conditionalFormatting sqref="D1:D1048576">
    <cfRule type="cellIs" dxfId="1582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400-000000000000}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0" customFormat="1" x14ac:dyDescent="0.2">
      <c r="A1" s="29" t="s">
        <v>55</v>
      </c>
      <c r="B1" s="22" t="s">
        <v>0</v>
      </c>
      <c r="C1" s="192" t="s">
        <v>238</v>
      </c>
      <c r="D1" s="305" t="s">
        <v>2</v>
      </c>
      <c r="E1" s="23" t="s">
        <v>237</v>
      </c>
      <c r="F1" s="21" t="s">
        <v>1</v>
      </c>
      <c r="G1" s="42" t="s">
        <v>217</v>
      </c>
      <c r="H1" s="24" t="s">
        <v>3</v>
      </c>
      <c r="I1" s="136" t="s">
        <v>244</v>
      </c>
      <c r="J1" s="136" t="s">
        <v>245</v>
      </c>
      <c r="K1" s="136" t="s">
        <v>246</v>
      </c>
      <c r="L1" s="136" t="s">
        <v>247</v>
      </c>
      <c r="M1" s="24" t="s">
        <v>207</v>
      </c>
    </row>
    <row r="2" spans="1:13" x14ac:dyDescent="0.2">
      <c r="A2" s="1" t="s">
        <v>758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89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670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89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357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89">
        <v>284</v>
      </c>
      <c r="H4" s="6" t="s">
        <v>5</v>
      </c>
      <c r="I4" s="89">
        <v>3</v>
      </c>
      <c r="J4" s="89">
        <v>2</v>
      </c>
      <c r="K4" s="89">
        <v>1</v>
      </c>
      <c r="L4" s="89">
        <v>2</v>
      </c>
      <c r="M4" s="11">
        <f t="shared" si="0"/>
        <v>2</v>
      </c>
    </row>
    <row r="5" spans="1:13" x14ac:dyDescent="0.2">
      <c r="A5" s="1" t="s">
        <v>445</v>
      </c>
      <c r="B5" s="2">
        <v>0.11319444444444444</v>
      </c>
      <c r="C5" s="3">
        <v>57.1</v>
      </c>
      <c r="D5" s="72">
        <v>912</v>
      </c>
      <c r="E5" s="12">
        <v>21</v>
      </c>
      <c r="F5" s="8">
        <v>462</v>
      </c>
      <c r="G5" s="89">
        <v>323</v>
      </c>
      <c r="H5" s="6" t="s">
        <v>393</v>
      </c>
      <c r="I5" s="89">
        <v>3</v>
      </c>
      <c r="J5" s="89">
        <v>3</v>
      </c>
      <c r="K5" s="89">
        <v>1</v>
      </c>
      <c r="L5" s="89">
        <v>1</v>
      </c>
      <c r="M5" s="11">
        <f t="shared" si="0"/>
        <v>2</v>
      </c>
    </row>
    <row r="6" spans="1:13" x14ac:dyDescent="0.2">
      <c r="A6" s="1" t="s">
        <v>777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89">
        <v>223</v>
      </c>
      <c r="H6" s="6" t="s">
        <v>393</v>
      </c>
      <c r="I6" s="89">
        <v>3</v>
      </c>
      <c r="J6" s="89">
        <v>1</v>
      </c>
      <c r="K6" s="89">
        <v>2</v>
      </c>
      <c r="L6" s="89">
        <v>1</v>
      </c>
      <c r="M6" s="11">
        <f t="shared" si="0"/>
        <v>1.75</v>
      </c>
    </row>
    <row r="7" spans="1:13" x14ac:dyDescent="0.2">
      <c r="A7" s="1" t="s">
        <v>437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89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208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89">
        <v>293</v>
      </c>
      <c r="H8" t="s">
        <v>5</v>
      </c>
      <c r="I8" s="89">
        <v>3</v>
      </c>
      <c r="J8" s="89">
        <v>2</v>
      </c>
      <c r="K8" s="89">
        <v>1</v>
      </c>
      <c r="L8" s="89">
        <v>2</v>
      </c>
      <c r="M8" s="11">
        <f t="shared" si="0"/>
        <v>2</v>
      </c>
    </row>
    <row r="9" spans="1:13" x14ac:dyDescent="0.2">
      <c r="A9" s="1" t="s">
        <v>916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89">
        <v>330</v>
      </c>
      <c r="H9" s="6" t="s">
        <v>5</v>
      </c>
      <c r="I9" s="89">
        <v>1</v>
      </c>
      <c r="J9" s="89">
        <v>2</v>
      </c>
      <c r="K9" s="89">
        <v>2</v>
      </c>
      <c r="L9" s="89">
        <v>1</v>
      </c>
      <c r="M9" s="11">
        <f t="shared" si="0"/>
        <v>1.5</v>
      </c>
    </row>
    <row r="10" spans="1:13" x14ac:dyDescent="0.2">
      <c r="A10" s="1" t="s">
        <v>189</v>
      </c>
      <c r="B10" s="2">
        <v>0.1001851851851852</v>
      </c>
      <c r="C10" s="106">
        <v>52.49</v>
      </c>
      <c r="D10" s="13">
        <v>850</v>
      </c>
      <c r="E10" s="12">
        <v>21.8</v>
      </c>
      <c r="F10" s="13">
        <v>462</v>
      </c>
      <c r="G10" s="89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431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89">
        <v>284</v>
      </c>
      <c r="H11" s="191" t="s">
        <v>5</v>
      </c>
      <c r="I11" s="89">
        <v>3</v>
      </c>
      <c r="J11" s="89">
        <v>2</v>
      </c>
      <c r="K11" s="89">
        <v>3</v>
      </c>
      <c r="L11" s="89">
        <v>1</v>
      </c>
      <c r="M11" s="11">
        <f t="shared" si="0"/>
        <v>2.25</v>
      </c>
    </row>
    <row r="12" spans="1:13" x14ac:dyDescent="0.2">
      <c r="A12" s="1" t="s">
        <v>612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89">
        <v>351</v>
      </c>
      <c r="H12" s="191" t="s">
        <v>6</v>
      </c>
      <c r="I12" s="89">
        <v>1</v>
      </c>
      <c r="J12" s="89">
        <v>1</v>
      </c>
      <c r="K12" s="89">
        <v>2</v>
      </c>
      <c r="L12" s="89">
        <v>2</v>
      </c>
      <c r="M12" s="11">
        <f t="shared" si="0"/>
        <v>1.5</v>
      </c>
    </row>
    <row r="13" spans="1:13" x14ac:dyDescent="0.2">
      <c r="A13" s="1" t="s">
        <v>184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89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428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89">
        <v>223</v>
      </c>
      <c r="H14" s="6" t="s">
        <v>5</v>
      </c>
      <c r="I14" s="89">
        <v>1</v>
      </c>
      <c r="J14" s="89">
        <v>2</v>
      </c>
      <c r="K14" s="89">
        <v>2</v>
      </c>
      <c r="L14" s="89">
        <v>1</v>
      </c>
      <c r="M14" s="11">
        <f t="shared" si="0"/>
        <v>1.5</v>
      </c>
    </row>
    <row r="15" spans="1:13" x14ac:dyDescent="0.2">
      <c r="A15" s="1" t="s">
        <v>542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89">
        <v>300</v>
      </c>
      <c r="H15" s="6" t="s">
        <v>6</v>
      </c>
      <c r="I15" s="89">
        <v>3</v>
      </c>
      <c r="J15" s="89">
        <v>1</v>
      </c>
      <c r="K15" s="89">
        <v>1</v>
      </c>
      <c r="L15" s="89">
        <v>1</v>
      </c>
      <c r="M15" s="11">
        <f t="shared" si="0"/>
        <v>1.5</v>
      </c>
    </row>
    <row r="16" spans="1:13" x14ac:dyDescent="0.2">
      <c r="A16" s="1" t="s">
        <v>192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89">
        <v>303</v>
      </c>
      <c r="H16" s="193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926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89">
        <v>284</v>
      </c>
      <c r="H17" s="6" t="s">
        <v>393</v>
      </c>
      <c r="I17" s="89">
        <v>3</v>
      </c>
      <c r="J17" s="89">
        <v>2</v>
      </c>
      <c r="K17" s="89">
        <v>2</v>
      </c>
      <c r="L17" s="89">
        <v>1</v>
      </c>
      <c r="M17" s="11">
        <f t="shared" si="0"/>
        <v>2</v>
      </c>
    </row>
    <row r="18" spans="1:13" x14ac:dyDescent="0.2">
      <c r="A18" s="1" t="s">
        <v>211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89">
        <v>284</v>
      </c>
      <c r="H18" s="6" t="s">
        <v>5</v>
      </c>
      <c r="I18" s="89">
        <v>1</v>
      </c>
      <c r="J18" s="89">
        <v>1</v>
      </c>
      <c r="K18" s="89">
        <v>1</v>
      </c>
      <c r="L18" s="89">
        <v>1</v>
      </c>
      <c r="M18" s="11">
        <f t="shared" si="0"/>
        <v>1</v>
      </c>
    </row>
    <row r="19" spans="1:13" x14ac:dyDescent="0.2">
      <c r="A19" s="1" t="s">
        <v>398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89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826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89">
        <v>210</v>
      </c>
      <c r="H20" s="113" t="s">
        <v>393</v>
      </c>
      <c r="I20" s="89">
        <v>3</v>
      </c>
      <c r="J20" s="89">
        <v>2</v>
      </c>
      <c r="K20" s="89">
        <v>3</v>
      </c>
      <c r="L20" s="89">
        <v>1</v>
      </c>
      <c r="M20" s="11">
        <f t="shared" si="0"/>
        <v>2.25</v>
      </c>
    </row>
    <row r="21" spans="1:13" x14ac:dyDescent="0.2">
      <c r="A21" s="1" t="s">
        <v>790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89">
        <v>285</v>
      </c>
      <c r="H21" s="16" t="s">
        <v>639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756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89">
        <v>160</v>
      </c>
      <c r="H22" s="6" t="s">
        <v>639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909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89">
        <v>345</v>
      </c>
      <c r="H23" s="6" t="s">
        <v>5</v>
      </c>
      <c r="I23" s="89">
        <v>3</v>
      </c>
      <c r="J23" s="89">
        <v>2</v>
      </c>
      <c r="K23" s="89">
        <v>1</v>
      </c>
      <c r="L23" s="89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6"/>
      <c r="I24" s="89"/>
      <c r="J24" s="89"/>
      <c r="K24" s="89"/>
      <c r="L24" s="89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89"/>
      <c r="J27" s="89"/>
      <c r="K27" s="89"/>
      <c r="L27" s="89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xmlns:xlrd2="http://schemas.microsoft.com/office/spreadsheetml/2017/richdata2" ref="A2:M23">
    <sortCondition descending="1" ref="D1"/>
  </sortState>
  <conditionalFormatting sqref="G1:G1048576">
    <cfRule type="cellIs" dxfId="1581" priority="60" operator="between">
      <formula>400</formula>
      <formula>9999.99</formula>
    </cfRule>
    <cfRule type="cellIs" dxfId="1580" priority="61" operator="between">
      <formula>300</formula>
      <formula>399.99</formula>
    </cfRule>
    <cfRule type="cellIs" dxfId="1579" priority="62" operator="between">
      <formula>0</formula>
      <formula>299.99</formula>
    </cfRule>
  </conditionalFormatting>
  <conditionalFormatting sqref="E1:E1048576">
    <cfRule type="cellIs" dxfId="1578" priority="54" stopIfTrue="1" operator="between">
      <formula>0</formula>
      <formula>19.99</formula>
    </cfRule>
    <cfRule type="cellIs" dxfId="1577" priority="55" stopIfTrue="1" operator="between">
      <formula>10</formula>
      <formula>24.99</formula>
    </cfRule>
    <cfRule type="cellIs" dxfId="1576" priority="56" stopIfTrue="1" operator="between">
      <formula>25</formula>
      <formula>99.99</formula>
    </cfRule>
  </conditionalFormatting>
  <conditionalFormatting sqref="I1:L1048576">
    <cfRule type="cellIs" dxfId="1575" priority="51" operator="equal">
      <formula>1</formula>
    </cfRule>
    <cfRule type="cellIs" dxfId="1574" priority="52" operator="equal">
      <formula>2</formula>
    </cfRule>
    <cfRule type="cellIs" dxfId="1573" priority="53" operator="equal">
      <formula>3</formula>
    </cfRule>
  </conditionalFormatting>
  <conditionalFormatting sqref="M1:M1048576">
    <cfRule type="cellIs" dxfId="1572" priority="48" stopIfTrue="1" operator="between">
      <formula>1</formula>
      <formula>1.499</formula>
    </cfRule>
    <cfRule type="cellIs" dxfId="1571" priority="49" stopIfTrue="1" operator="between">
      <formula>1.5</formula>
      <formula>2</formula>
    </cfRule>
    <cfRule type="cellIs" dxfId="1570" priority="50" operator="between">
      <formula>2</formula>
      <formula>99.999</formula>
    </cfRule>
  </conditionalFormatting>
  <conditionalFormatting sqref="F1:F1048576">
    <cfRule type="cellIs" dxfId="1569" priority="25" stopIfTrue="1" operator="between">
      <formula>0</formula>
      <formula>399.99</formula>
    </cfRule>
    <cfRule type="cellIs" dxfId="1568" priority="26" stopIfTrue="1" operator="between">
      <formula>400</formula>
      <formula>449.99</formula>
    </cfRule>
    <cfRule type="cellIs" dxfId="1567" priority="27" stopIfTrue="1" operator="between">
      <formula>450</formula>
      <formula>499.99</formula>
    </cfRule>
    <cfRule type="cellIs" dxfId="1566" priority="28" stopIfTrue="1" operator="between">
      <formula>500</formula>
      <formula>549.99</formula>
    </cfRule>
    <cfRule type="cellIs" dxfId="1565" priority="29" stopIfTrue="1" operator="between">
      <formula>550</formula>
      <formula>599.99</formula>
    </cfRule>
  </conditionalFormatting>
  <conditionalFormatting sqref="F1:F1048576">
    <cfRule type="cellIs" dxfId="1564" priority="30" stopIfTrue="1" operator="between">
      <formula>600</formula>
      <formula>9999.99</formula>
    </cfRule>
  </conditionalFormatting>
  <conditionalFormatting sqref="B1:B1048576">
    <cfRule type="cellIs" dxfId="1563" priority="34" stopIfTrue="1" operator="between">
      <formula>0</formula>
      <formula>0.041666665</formula>
    </cfRule>
    <cfRule type="cellIs" dxfId="1562" priority="35" stopIfTrue="1" operator="between">
      <formula>0.0416666666666667</formula>
      <formula>0.124999884259259</formula>
    </cfRule>
    <cfRule type="cellIs" dxfId="1561" priority="57" stopIfTrue="1" operator="between">
      <formula>0.125</formula>
      <formula>0.166666550925926</formula>
    </cfRule>
    <cfRule type="cellIs" dxfId="1560" priority="58" stopIfTrue="1" operator="between">
      <formula>0.0833333333333333</formula>
      <formula>0.208333217592593</formula>
    </cfRule>
    <cfRule type="cellIs" dxfId="1559" priority="59" stopIfTrue="1" operator="between">
      <formula>0.208333333333333</formula>
      <formula>4.16666655092593</formula>
    </cfRule>
  </conditionalFormatting>
  <conditionalFormatting sqref="H1:H1048576">
    <cfRule type="cellIs" dxfId="1558" priority="15" stopIfTrue="1" operator="equal">
      <formula>"CR"</formula>
    </cfRule>
    <cfRule type="cellIs" dxfId="1557" priority="16" stopIfTrue="1" operator="equal">
      <formula>"FB"</formula>
    </cfRule>
    <cfRule type="cellIs" dxfId="1556" priority="17" stopIfTrue="1" operator="equal">
      <formula>"RR"</formula>
    </cfRule>
    <cfRule type="cellIs" dxfId="1555" priority="18" stopIfTrue="1" operator="equal">
      <formula>"MTB"</formula>
    </cfRule>
  </conditionalFormatting>
  <conditionalFormatting sqref="A1:A1048576">
    <cfRule type="expression" dxfId="1554" priority="11" stopIfTrue="1">
      <formula>H1="CR"</formula>
    </cfRule>
    <cfRule type="expression" dxfId="1553" priority="12" stopIfTrue="1">
      <formula>H1="RR"</formula>
    </cfRule>
    <cfRule type="expression" dxfId="1552" priority="13" stopIfTrue="1">
      <formula>H1="FB"</formula>
    </cfRule>
    <cfRule type="expression" dxfId="1551" priority="14">
      <formula>H1="MTB"</formula>
    </cfRule>
  </conditionalFormatting>
  <conditionalFormatting sqref="C1:C1048576">
    <cfRule type="cellIs" dxfId="1550" priority="7" stopIfTrue="1" operator="between">
      <formula>0</formula>
      <formula>19.99</formula>
    </cfRule>
    <cfRule type="cellIs" dxfId="1549" priority="8" stopIfTrue="1" operator="between">
      <formula>20</formula>
      <formula>49.99</formula>
    </cfRule>
    <cfRule type="cellIs" dxfId="1548" priority="9" stopIfTrue="1" operator="between">
      <formula>50</formula>
      <formula>99.9999</formula>
    </cfRule>
    <cfRule type="cellIs" dxfId="1547" priority="10" stopIfTrue="1" operator="between">
      <formula>100</formula>
      <formula>9999</formula>
    </cfRule>
  </conditionalFormatting>
  <conditionalFormatting sqref="D1:D1048576">
    <cfRule type="cellIs" dxfId="1546" priority="1" stopIfTrue="1" operator="between">
      <formula>0</formula>
      <formula>99.99</formula>
    </cfRule>
    <cfRule type="cellIs" dxfId="1545" priority="2" stopIfTrue="1" operator="between">
      <formula>100</formula>
      <formula>499.99</formula>
    </cfRule>
    <cfRule type="cellIs" dxfId="1544" priority="3" stopIfTrue="1" operator="between">
      <formula>500</formula>
      <formula>999.99</formula>
    </cfRule>
    <cfRule type="cellIs" dxfId="1543" priority="4" stopIfTrue="1" operator="between">
      <formula>1000</formula>
      <formula>1499.99</formula>
    </cfRule>
    <cfRule type="cellIs" dxfId="1542" priority="5" stopIfTrue="1" operator="between">
      <formula>1500</formula>
      <formula>1999.99</formula>
    </cfRule>
  </conditionalFormatting>
  <conditionalFormatting sqref="D1:D1048576">
    <cfRule type="cellIs" dxfId="1541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500-000000000000}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0" customFormat="1" x14ac:dyDescent="0.2">
      <c r="A1" s="29" t="s">
        <v>55</v>
      </c>
      <c r="B1" s="22" t="s">
        <v>0</v>
      </c>
      <c r="C1" s="192" t="s">
        <v>238</v>
      </c>
      <c r="D1" s="305" t="s">
        <v>2</v>
      </c>
      <c r="E1" s="23" t="s">
        <v>237</v>
      </c>
      <c r="F1" s="21" t="s">
        <v>1</v>
      </c>
      <c r="G1" s="42" t="s">
        <v>217</v>
      </c>
      <c r="H1" s="24" t="s">
        <v>3</v>
      </c>
      <c r="I1" s="136" t="s">
        <v>244</v>
      </c>
      <c r="J1" s="136" t="s">
        <v>245</v>
      </c>
      <c r="K1" s="136" t="s">
        <v>246</v>
      </c>
      <c r="L1" s="136" t="s">
        <v>247</v>
      </c>
      <c r="M1" s="24" t="s">
        <v>207</v>
      </c>
    </row>
    <row r="2" spans="1:13" x14ac:dyDescent="0.2">
      <c r="A2" s="1" t="s">
        <v>540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89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374</v>
      </c>
      <c r="B3" s="2">
        <v>0.20746527777777779</v>
      </c>
      <c r="C3" s="106">
        <v>111.31</v>
      </c>
      <c r="D3" s="13">
        <v>1460</v>
      </c>
      <c r="E3" s="12">
        <v>22.3</v>
      </c>
      <c r="F3" s="13">
        <v>512</v>
      </c>
      <c r="G3" s="89">
        <v>298</v>
      </c>
      <c r="H3" s="191" t="s">
        <v>5</v>
      </c>
      <c r="I3" s="89">
        <v>1</v>
      </c>
      <c r="J3" s="89">
        <v>1</v>
      </c>
      <c r="K3" s="89">
        <v>2</v>
      </c>
      <c r="L3" s="89">
        <v>1</v>
      </c>
      <c r="M3" s="11">
        <f t="shared" si="0"/>
        <v>1.25</v>
      </c>
    </row>
    <row r="4" spans="1:13" x14ac:dyDescent="0.2">
      <c r="A4" s="1" t="s">
        <v>686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89">
        <v>410</v>
      </c>
      <c r="H4" s="191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463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89">
        <v>406</v>
      </c>
      <c r="H5" s="6" t="s">
        <v>5</v>
      </c>
      <c r="I5" s="89">
        <v>3</v>
      </c>
      <c r="J5" s="89">
        <v>1</v>
      </c>
      <c r="K5" s="89">
        <v>1</v>
      </c>
      <c r="L5" s="89">
        <v>1</v>
      </c>
      <c r="M5" s="11">
        <f t="shared" si="0"/>
        <v>1.5</v>
      </c>
    </row>
    <row r="6" spans="1:13" x14ac:dyDescent="0.2">
      <c r="A6" s="1" t="s">
        <v>655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89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482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89">
        <v>295</v>
      </c>
      <c r="H7" s="6" t="s">
        <v>393</v>
      </c>
      <c r="I7" s="89">
        <v>3</v>
      </c>
      <c r="J7" s="89">
        <v>2</v>
      </c>
      <c r="K7" s="89">
        <v>3</v>
      </c>
      <c r="L7" s="89">
        <v>1</v>
      </c>
      <c r="M7" s="11">
        <f t="shared" si="0"/>
        <v>2.25</v>
      </c>
    </row>
    <row r="8" spans="1:13" x14ac:dyDescent="0.2">
      <c r="A8" s="1" t="s">
        <v>65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89">
        <v>354</v>
      </c>
      <c r="H8" s="193" t="s">
        <v>6</v>
      </c>
      <c r="I8" s="89">
        <v>1</v>
      </c>
      <c r="J8" s="89">
        <v>1</v>
      </c>
      <c r="K8" s="89">
        <v>1</v>
      </c>
      <c r="L8" s="89">
        <v>2</v>
      </c>
      <c r="M8" s="11">
        <f t="shared" si="0"/>
        <v>1.25</v>
      </c>
    </row>
    <row r="9" spans="1:13" x14ac:dyDescent="0.2">
      <c r="A9" s="1" t="s">
        <v>509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89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788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89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459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89">
        <v>295</v>
      </c>
      <c r="H11" t="s">
        <v>5</v>
      </c>
      <c r="I11" s="89">
        <v>2</v>
      </c>
      <c r="J11" s="89">
        <v>1</v>
      </c>
      <c r="K11" s="89">
        <v>2</v>
      </c>
      <c r="L11" s="89">
        <v>1</v>
      </c>
      <c r="M11" s="11">
        <f t="shared" si="0"/>
        <v>1.5</v>
      </c>
    </row>
    <row r="12" spans="1:13" x14ac:dyDescent="0.2">
      <c r="A12" s="1" t="s">
        <v>510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89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583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89">
        <v>330</v>
      </c>
      <c r="H13" s="6" t="s">
        <v>393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397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89">
        <v>298</v>
      </c>
      <c r="H14" t="s">
        <v>5</v>
      </c>
      <c r="I14" s="89">
        <v>1</v>
      </c>
      <c r="J14" s="89">
        <v>1</v>
      </c>
      <c r="K14" s="89">
        <v>1</v>
      </c>
      <c r="L14" s="89">
        <v>1</v>
      </c>
      <c r="M14" s="11">
        <f t="shared" si="0"/>
        <v>1</v>
      </c>
    </row>
    <row r="15" spans="1:13" x14ac:dyDescent="0.2">
      <c r="A15" s="1" t="s">
        <v>508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89">
        <v>332</v>
      </c>
      <c r="H15" s="6" t="s">
        <v>393</v>
      </c>
      <c r="I15" s="89">
        <v>3</v>
      </c>
      <c r="J15" s="89">
        <v>2</v>
      </c>
      <c r="K15" s="89">
        <v>3</v>
      </c>
      <c r="L15" s="89">
        <v>2</v>
      </c>
      <c r="M15" s="11">
        <f t="shared" si="0"/>
        <v>2.5</v>
      </c>
    </row>
    <row r="16" spans="1:13" x14ac:dyDescent="0.2">
      <c r="A16" s="1" t="s">
        <v>483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89">
        <v>361</v>
      </c>
      <c r="H16" s="16" t="s">
        <v>5</v>
      </c>
      <c r="I16" s="89">
        <v>3</v>
      </c>
      <c r="J16" s="89">
        <v>1</v>
      </c>
      <c r="K16" s="89">
        <v>1</v>
      </c>
      <c r="L16" s="89">
        <v>1</v>
      </c>
      <c r="M16" s="11">
        <f t="shared" si="0"/>
        <v>1.5</v>
      </c>
    </row>
    <row r="17" spans="1:13" x14ac:dyDescent="0.2">
      <c r="A17" s="1" t="s">
        <v>591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89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817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89">
        <v>280</v>
      </c>
      <c r="H18" s="6" t="s">
        <v>393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592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89">
        <v>287</v>
      </c>
      <c r="H19" s="6" t="s">
        <v>5</v>
      </c>
      <c r="I19" s="89">
        <v>2</v>
      </c>
      <c r="J19" s="89">
        <v>2</v>
      </c>
      <c r="K19" s="89">
        <v>2</v>
      </c>
      <c r="L19" s="89">
        <v>2</v>
      </c>
      <c r="M19" s="11">
        <f t="shared" si="0"/>
        <v>2</v>
      </c>
    </row>
    <row r="20" spans="1:13" x14ac:dyDescent="0.2">
      <c r="A20" s="1" t="s">
        <v>821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89">
        <v>414</v>
      </c>
      <c r="H20" s="6" t="s">
        <v>393</v>
      </c>
      <c r="I20" s="89">
        <v>2</v>
      </c>
      <c r="J20" s="89">
        <v>1</v>
      </c>
      <c r="K20" s="89">
        <v>2</v>
      </c>
      <c r="L20" s="89">
        <v>2</v>
      </c>
      <c r="M20" s="11">
        <f t="shared" si="0"/>
        <v>1.75</v>
      </c>
    </row>
    <row r="21" spans="1:13" x14ac:dyDescent="0.2">
      <c r="A21" s="1" t="s">
        <v>467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89">
        <v>316</v>
      </c>
      <c r="H21" s="6" t="s">
        <v>5</v>
      </c>
      <c r="I21" s="89">
        <v>3</v>
      </c>
      <c r="J21" s="89">
        <v>2</v>
      </c>
      <c r="K21" s="89">
        <v>2</v>
      </c>
      <c r="L21" s="89">
        <v>1</v>
      </c>
      <c r="M21" s="11">
        <f t="shared" si="0"/>
        <v>2</v>
      </c>
    </row>
    <row r="22" spans="1:13" x14ac:dyDescent="0.2">
      <c r="A22" s="1" t="s">
        <v>303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89">
        <v>295</v>
      </c>
      <c r="H22" s="6" t="s">
        <v>5</v>
      </c>
      <c r="I22" s="89">
        <v>2</v>
      </c>
      <c r="J22" s="89">
        <v>2</v>
      </c>
      <c r="K22" s="89">
        <v>2</v>
      </c>
      <c r="L22" s="89">
        <v>1</v>
      </c>
      <c r="M22" s="11">
        <f t="shared" si="0"/>
        <v>1.75</v>
      </c>
    </row>
    <row r="23" spans="1:13" x14ac:dyDescent="0.2">
      <c r="A23" s="1" t="s">
        <v>446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89">
        <v>382</v>
      </c>
      <c r="H23" s="6" t="s">
        <v>393</v>
      </c>
      <c r="I23" s="89">
        <v>2</v>
      </c>
      <c r="J23" s="89">
        <v>2</v>
      </c>
      <c r="K23" s="89">
        <v>2</v>
      </c>
      <c r="L23" s="89">
        <v>1</v>
      </c>
      <c r="M23" s="11">
        <f t="shared" si="0"/>
        <v>1.75</v>
      </c>
    </row>
    <row r="24" spans="1:13" x14ac:dyDescent="0.2">
      <c r="A24" s="1" t="s">
        <v>898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89">
        <v>420</v>
      </c>
      <c r="H24" s="6" t="s">
        <v>5</v>
      </c>
      <c r="I24" s="89">
        <v>1</v>
      </c>
      <c r="J24" s="89">
        <v>2</v>
      </c>
      <c r="K24" s="89">
        <v>2</v>
      </c>
      <c r="L24" s="89">
        <v>2</v>
      </c>
      <c r="M24" s="11">
        <f t="shared" si="0"/>
        <v>1.75</v>
      </c>
    </row>
    <row r="25" spans="1:13" x14ac:dyDescent="0.2">
      <c r="A25" s="1" t="s">
        <v>801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89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594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89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674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89">
        <v>312</v>
      </c>
      <c r="H27" s="6" t="s">
        <v>393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728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89">
        <v>334</v>
      </c>
      <c r="H28" s="6" t="s">
        <v>639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913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89">
        <v>223</v>
      </c>
      <c r="H29" t="s">
        <v>5</v>
      </c>
      <c r="I29" s="89">
        <v>1</v>
      </c>
      <c r="J29" s="89">
        <v>2</v>
      </c>
      <c r="K29" s="89">
        <v>2</v>
      </c>
      <c r="L29" s="89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xmlns:xlrd2="http://schemas.microsoft.com/office/spreadsheetml/2017/richdata2" ref="A2:O29">
    <sortCondition descending="1" ref="D1"/>
  </sortState>
  <conditionalFormatting sqref="G1:G1048576">
    <cfRule type="cellIs" dxfId="1540" priority="76" operator="between">
      <formula>400</formula>
      <formula>9999.99</formula>
    </cfRule>
    <cfRule type="cellIs" dxfId="1539" priority="77" operator="between">
      <formula>300</formula>
      <formula>399.99</formula>
    </cfRule>
    <cfRule type="cellIs" dxfId="1538" priority="78" operator="between">
      <formula>0</formula>
      <formula>299.99</formula>
    </cfRule>
  </conditionalFormatting>
  <conditionalFormatting sqref="B1:B1048576">
    <cfRule type="cellIs" dxfId="1537" priority="38" stopIfTrue="1" operator="between">
      <formula>0</formula>
      <formula>0.041666665</formula>
    </cfRule>
    <cfRule type="cellIs" dxfId="1536" priority="39" stopIfTrue="1" operator="between">
      <formula>0.0416666666666667</formula>
      <formula>0.124999884259259</formula>
    </cfRule>
    <cfRule type="cellIs" dxfId="1535" priority="73" stopIfTrue="1" operator="between">
      <formula>0.125</formula>
      <formula>0.166666550925926</formula>
    </cfRule>
    <cfRule type="cellIs" dxfId="1534" priority="74" stopIfTrue="1" operator="between">
      <formula>0.0833333333333333</formula>
      <formula>0.208333217592593</formula>
    </cfRule>
    <cfRule type="cellIs" dxfId="1533" priority="75" stopIfTrue="1" operator="between">
      <formula>0.208333333333333</formula>
      <formula>4.16666655092593</formula>
    </cfRule>
  </conditionalFormatting>
  <conditionalFormatting sqref="E1:E1048576">
    <cfRule type="cellIs" dxfId="1532" priority="67" stopIfTrue="1" operator="between">
      <formula>0</formula>
      <formula>19.99</formula>
    </cfRule>
    <cfRule type="cellIs" dxfId="1531" priority="68" stopIfTrue="1" operator="between">
      <formula>10</formula>
      <formula>24.99</formula>
    </cfRule>
    <cfRule type="cellIs" dxfId="1530" priority="69" stopIfTrue="1" operator="between">
      <formula>25</formula>
      <formula>99.99</formula>
    </cfRule>
  </conditionalFormatting>
  <conditionalFormatting sqref="I1:L1048576">
    <cfRule type="cellIs" dxfId="1529" priority="63" operator="equal">
      <formula>1</formula>
    </cfRule>
    <cfRule type="cellIs" dxfId="1528" priority="64" operator="equal">
      <formula>2</formula>
    </cfRule>
    <cfRule type="cellIs" dxfId="1527" priority="65" operator="equal">
      <formula>3</formula>
    </cfRule>
  </conditionalFormatting>
  <conditionalFormatting sqref="F1:F1048576">
    <cfRule type="cellIs" dxfId="1526" priority="29" stopIfTrue="1" operator="between">
      <formula>0</formula>
      <formula>399.99</formula>
    </cfRule>
    <cfRule type="cellIs" dxfId="1525" priority="30" stopIfTrue="1" operator="between">
      <formula>400</formula>
      <formula>449.99</formula>
    </cfRule>
    <cfRule type="cellIs" dxfId="1524" priority="31" stopIfTrue="1" operator="between">
      <formula>450</formula>
      <formula>499.99</formula>
    </cfRule>
    <cfRule type="cellIs" dxfId="1523" priority="32" stopIfTrue="1" operator="between">
      <formula>500</formula>
      <formula>549.99</formula>
    </cfRule>
    <cfRule type="cellIs" dxfId="1522" priority="33" stopIfTrue="1" operator="between">
      <formula>550</formula>
      <formula>599.99</formula>
    </cfRule>
  </conditionalFormatting>
  <conditionalFormatting sqref="F1:F1048576">
    <cfRule type="cellIs" dxfId="1521" priority="34" stopIfTrue="1" operator="between">
      <formula>600</formula>
      <formula>9999.99</formula>
    </cfRule>
  </conditionalFormatting>
  <conditionalFormatting sqref="H1:H1048576">
    <cfRule type="cellIs" dxfId="1520" priority="19" stopIfTrue="1" operator="equal">
      <formula>"CR"</formula>
    </cfRule>
    <cfRule type="cellIs" dxfId="1519" priority="20" stopIfTrue="1" operator="equal">
      <formula>"FB"</formula>
    </cfRule>
    <cfRule type="cellIs" dxfId="1518" priority="21" stopIfTrue="1" operator="equal">
      <formula>"RR"</formula>
    </cfRule>
    <cfRule type="cellIs" dxfId="1517" priority="22" stopIfTrue="1" operator="equal">
      <formula>"MTB"</formula>
    </cfRule>
  </conditionalFormatting>
  <conditionalFormatting sqref="A1:A1048576">
    <cfRule type="expression" dxfId="1516" priority="15" stopIfTrue="1">
      <formula>H1="CR"</formula>
    </cfRule>
    <cfRule type="expression" dxfId="1515" priority="16" stopIfTrue="1">
      <formula>H1="RR"</formula>
    </cfRule>
    <cfRule type="expression" dxfId="1514" priority="17" stopIfTrue="1">
      <formula>H1="FB"</formula>
    </cfRule>
    <cfRule type="expression" dxfId="1513" priority="18">
      <formula>H1="MTB"</formula>
    </cfRule>
  </conditionalFormatting>
  <conditionalFormatting sqref="M1:M1048576">
    <cfRule type="cellIs" dxfId="1512" priority="12" stopIfTrue="1" operator="between">
      <formula>1</formula>
      <formula>1.499</formula>
    </cfRule>
    <cfRule type="cellIs" dxfId="1511" priority="13" stopIfTrue="1" operator="between">
      <formula>1.5</formula>
      <formula>2</formula>
    </cfRule>
    <cfRule type="cellIs" dxfId="1510" priority="14" operator="between">
      <formula>2</formula>
      <formula>99.999</formula>
    </cfRule>
  </conditionalFormatting>
  <conditionalFormatting sqref="C1:C1048576">
    <cfRule type="cellIs" dxfId="1509" priority="7" stopIfTrue="1" operator="between">
      <formula>0</formula>
      <formula>19.99</formula>
    </cfRule>
    <cfRule type="cellIs" dxfId="1508" priority="8" stopIfTrue="1" operator="between">
      <formula>20</formula>
      <formula>49.99</formula>
    </cfRule>
    <cfRule type="cellIs" dxfId="1507" priority="9" stopIfTrue="1" operator="between">
      <formula>50</formula>
      <formula>99.9999</formula>
    </cfRule>
    <cfRule type="cellIs" dxfId="1506" priority="10" stopIfTrue="1" operator="between">
      <formula>100</formula>
      <formula>9999</formula>
    </cfRule>
  </conditionalFormatting>
  <conditionalFormatting sqref="D1:D1048576">
    <cfRule type="cellIs" dxfId="1505" priority="1" stopIfTrue="1" operator="between">
      <formula>0</formula>
      <formula>99.99</formula>
    </cfRule>
    <cfRule type="cellIs" dxfId="1504" priority="2" stopIfTrue="1" operator="between">
      <formula>100</formula>
      <formula>499.99</formula>
    </cfRule>
    <cfRule type="cellIs" dxfId="1503" priority="3" stopIfTrue="1" operator="between">
      <formula>500</formula>
      <formula>999.99</formula>
    </cfRule>
    <cfRule type="cellIs" dxfId="1502" priority="4" stopIfTrue="1" operator="between">
      <formula>1000</formula>
      <formula>1499.99</formula>
    </cfRule>
    <cfRule type="cellIs" dxfId="1501" priority="5" stopIfTrue="1" operator="between">
      <formula>1500</formula>
      <formula>1999.99</formula>
    </cfRule>
  </conditionalFormatting>
  <conditionalFormatting sqref="D1:D1048576">
    <cfRule type="cellIs" dxfId="1500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600-000000000000}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0" customFormat="1" x14ac:dyDescent="0.2">
      <c r="A1" s="29" t="s">
        <v>55</v>
      </c>
      <c r="B1" s="22" t="s">
        <v>0</v>
      </c>
      <c r="C1" s="192" t="s">
        <v>238</v>
      </c>
      <c r="D1" s="305" t="s">
        <v>2</v>
      </c>
      <c r="E1" s="23" t="s">
        <v>237</v>
      </c>
      <c r="F1" s="21" t="s">
        <v>1</v>
      </c>
      <c r="G1" s="42" t="s">
        <v>217</v>
      </c>
      <c r="H1" s="24" t="s">
        <v>3</v>
      </c>
      <c r="I1" s="136" t="s">
        <v>244</v>
      </c>
      <c r="J1" s="136" t="s">
        <v>245</v>
      </c>
      <c r="K1" s="136" t="s">
        <v>246</v>
      </c>
      <c r="L1" s="136" t="s">
        <v>247</v>
      </c>
      <c r="M1" s="24" t="s">
        <v>207</v>
      </c>
    </row>
    <row r="2" spans="1:13" x14ac:dyDescent="0.2">
      <c r="A2" s="1" t="s">
        <v>815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89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884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89">
        <v>354</v>
      </c>
      <c r="H3" s="6" t="s">
        <v>6</v>
      </c>
      <c r="I3" s="89">
        <v>2</v>
      </c>
      <c r="J3" s="89">
        <v>1</v>
      </c>
      <c r="K3" s="89">
        <v>2</v>
      </c>
      <c r="L3" s="89">
        <v>1</v>
      </c>
      <c r="M3" s="11">
        <f t="shared" si="0"/>
        <v>1.5</v>
      </c>
    </row>
    <row r="4" spans="1:13" x14ac:dyDescent="0.2">
      <c r="A4" s="1" t="s">
        <v>816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89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838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89">
        <v>354</v>
      </c>
      <c r="H5" s="6" t="s">
        <v>6</v>
      </c>
      <c r="I5" s="89">
        <v>1</v>
      </c>
      <c r="J5" s="89">
        <v>1</v>
      </c>
      <c r="K5" s="89">
        <v>2</v>
      </c>
      <c r="L5" s="89">
        <v>1</v>
      </c>
      <c r="M5" s="11">
        <f t="shared" si="0"/>
        <v>1.25</v>
      </c>
    </row>
    <row r="6" spans="1:13" x14ac:dyDescent="0.2">
      <c r="A6" s="1" t="s">
        <v>390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89">
        <v>376</v>
      </c>
      <c r="H6" s="6" t="s">
        <v>5</v>
      </c>
      <c r="I6" s="89">
        <v>3</v>
      </c>
      <c r="J6" s="89">
        <v>3</v>
      </c>
      <c r="K6" s="89">
        <v>2</v>
      </c>
      <c r="L6" s="89">
        <v>2</v>
      </c>
      <c r="M6" s="11">
        <f t="shared" si="0"/>
        <v>2.5</v>
      </c>
    </row>
    <row r="7" spans="1:13" x14ac:dyDescent="0.2">
      <c r="A7" s="1" t="s">
        <v>581</v>
      </c>
      <c r="B7" s="2">
        <v>0.20033564814814817</v>
      </c>
      <c r="C7" s="3">
        <v>109.87</v>
      </c>
      <c r="D7" s="72">
        <v>1755</v>
      </c>
      <c r="E7" s="12">
        <v>22.8</v>
      </c>
      <c r="F7" s="13">
        <v>581</v>
      </c>
      <c r="G7" s="89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296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89">
        <v>298</v>
      </c>
      <c r="H8" t="s">
        <v>5</v>
      </c>
      <c r="I8" s="89">
        <v>3</v>
      </c>
      <c r="J8" s="89">
        <v>1</v>
      </c>
      <c r="K8" s="89">
        <v>2</v>
      </c>
      <c r="L8" s="89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xmlns:xlrd2="http://schemas.microsoft.com/office/spreadsheetml/2017/richdata2" ref="A2:O8">
    <sortCondition descending="1" ref="D1"/>
  </sortState>
  <conditionalFormatting sqref="G1:G1048576">
    <cfRule type="cellIs" dxfId="1499" priority="39" operator="between">
      <formula>400</formula>
      <formula>9999.99</formula>
    </cfRule>
    <cfRule type="cellIs" dxfId="1498" priority="40" operator="between">
      <formula>300</formula>
      <formula>399.99</formula>
    </cfRule>
    <cfRule type="cellIs" dxfId="1497" priority="41" operator="between">
      <formula>0</formula>
      <formula>299.99</formula>
    </cfRule>
  </conditionalFormatting>
  <conditionalFormatting sqref="B1:B1048576">
    <cfRule type="cellIs" dxfId="1496" priority="28" stopIfTrue="1" operator="between">
      <formula>0</formula>
      <formula>0.041666665</formula>
    </cfRule>
    <cfRule type="cellIs" dxfId="1495" priority="29" stopIfTrue="1" operator="between">
      <formula>0.0416666666666667</formula>
      <formula>0.124999884259259</formula>
    </cfRule>
    <cfRule type="cellIs" dxfId="1494" priority="36" stopIfTrue="1" operator="between">
      <formula>0.125</formula>
      <formula>0.166666550925926</formula>
    </cfRule>
    <cfRule type="cellIs" dxfId="1493" priority="37" stopIfTrue="1" operator="between">
      <formula>0.0833333333333333</formula>
      <formula>0.208333217592593</formula>
    </cfRule>
    <cfRule type="cellIs" dxfId="1492" priority="38" stopIfTrue="1" operator="between">
      <formula>0.208333333333333</formula>
      <formula>4.16666655092593</formula>
    </cfRule>
  </conditionalFormatting>
  <conditionalFormatting sqref="E1:E1048576">
    <cfRule type="cellIs" dxfId="1491" priority="33" stopIfTrue="1" operator="between">
      <formula>0</formula>
      <formula>19.99</formula>
    </cfRule>
    <cfRule type="cellIs" dxfId="1490" priority="34" stopIfTrue="1" operator="between">
      <formula>10</formula>
      <formula>24.99</formula>
    </cfRule>
    <cfRule type="cellIs" dxfId="1489" priority="35" stopIfTrue="1" operator="between">
      <formula>25</formula>
      <formula>99.99</formula>
    </cfRule>
  </conditionalFormatting>
  <conditionalFormatting sqref="I1:L1048576">
    <cfRule type="cellIs" dxfId="1488" priority="30" operator="equal">
      <formula>1</formula>
    </cfRule>
    <cfRule type="cellIs" dxfId="1487" priority="31" operator="equal">
      <formula>2</formula>
    </cfRule>
    <cfRule type="cellIs" dxfId="1486" priority="32" operator="equal">
      <formula>3</formula>
    </cfRule>
  </conditionalFormatting>
  <conditionalFormatting sqref="F1:F1048576">
    <cfRule type="cellIs" dxfId="1485" priority="22" stopIfTrue="1" operator="between">
      <formula>0</formula>
      <formula>399.99</formula>
    </cfRule>
    <cfRule type="cellIs" dxfId="1484" priority="23" stopIfTrue="1" operator="between">
      <formula>400</formula>
      <formula>449.99</formula>
    </cfRule>
    <cfRule type="cellIs" dxfId="1483" priority="24" stopIfTrue="1" operator="between">
      <formula>450</formula>
      <formula>499.99</formula>
    </cfRule>
    <cfRule type="cellIs" dxfId="1482" priority="25" stopIfTrue="1" operator="between">
      <formula>500</formula>
      <formula>549.99</formula>
    </cfRule>
    <cfRule type="cellIs" dxfId="1481" priority="26" stopIfTrue="1" operator="between">
      <formula>550</formula>
      <formula>599.99</formula>
    </cfRule>
  </conditionalFormatting>
  <conditionalFormatting sqref="F1:F1048576">
    <cfRule type="cellIs" dxfId="1480" priority="27" stopIfTrue="1" operator="between">
      <formula>600</formula>
      <formula>9999.99</formula>
    </cfRule>
  </conditionalFormatting>
  <conditionalFormatting sqref="H1:H1048576">
    <cfRule type="cellIs" dxfId="1479" priority="18" stopIfTrue="1" operator="equal">
      <formula>"CR"</formula>
    </cfRule>
    <cfRule type="cellIs" dxfId="1478" priority="19" stopIfTrue="1" operator="equal">
      <formula>"FB"</formula>
    </cfRule>
    <cfRule type="cellIs" dxfId="1477" priority="20" stopIfTrue="1" operator="equal">
      <formula>"RR"</formula>
    </cfRule>
    <cfRule type="cellIs" dxfId="1476" priority="21" stopIfTrue="1" operator="equal">
      <formula>"MTB"</formula>
    </cfRule>
  </conditionalFormatting>
  <conditionalFormatting sqref="A1:A1048576">
    <cfRule type="expression" dxfId="1475" priority="14" stopIfTrue="1">
      <formula>H1="CR"</formula>
    </cfRule>
    <cfRule type="expression" dxfId="1474" priority="15" stopIfTrue="1">
      <formula>H1="RR"</formula>
    </cfRule>
    <cfRule type="expression" dxfId="1473" priority="16" stopIfTrue="1">
      <formula>H1="FB"</formula>
    </cfRule>
    <cfRule type="expression" dxfId="1472" priority="17">
      <formula>H1="MTB"</formula>
    </cfRule>
  </conditionalFormatting>
  <conditionalFormatting sqref="M1:M1048576">
    <cfRule type="cellIs" dxfId="1471" priority="11" stopIfTrue="1" operator="between">
      <formula>1</formula>
      <formula>1.499</formula>
    </cfRule>
    <cfRule type="cellIs" dxfId="1470" priority="12" stopIfTrue="1" operator="between">
      <formula>1.5</formula>
      <formula>2</formula>
    </cfRule>
    <cfRule type="cellIs" dxfId="1469" priority="13" operator="between">
      <formula>2</formula>
      <formula>99.999</formula>
    </cfRule>
  </conditionalFormatting>
  <conditionalFormatting sqref="C1:C1048576">
    <cfRule type="cellIs" dxfId="1468" priority="7" stopIfTrue="1" operator="between">
      <formula>0</formula>
      <formula>19.99</formula>
    </cfRule>
    <cfRule type="cellIs" dxfId="1467" priority="8" stopIfTrue="1" operator="between">
      <formula>20</formula>
      <formula>49.99</formula>
    </cfRule>
    <cfRule type="cellIs" dxfId="1466" priority="9" stopIfTrue="1" operator="between">
      <formula>50</formula>
      <formula>99.9999</formula>
    </cfRule>
    <cfRule type="cellIs" dxfId="1465" priority="10" stopIfTrue="1" operator="between">
      <formula>100</formula>
      <formula>9999</formula>
    </cfRule>
  </conditionalFormatting>
  <conditionalFormatting sqref="D1:D1048576">
    <cfRule type="cellIs" dxfId="1464" priority="1" stopIfTrue="1" operator="between">
      <formula>0</formula>
      <formula>99.99</formula>
    </cfRule>
    <cfRule type="cellIs" dxfId="1463" priority="2" stopIfTrue="1" operator="between">
      <formula>100</formula>
      <formula>499.99</formula>
    </cfRule>
    <cfRule type="cellIs" dxfId="1462" priority="3" stopIfTrue="1" operator="between">
      <formula>500</formula>
      <formula>999.99</formula>
    </cfRule>
    <cfRule type="cellIs" dxfId="1461" priority="4" stopIfTrue="1" operator="between">
      <formula>1000</formula>
      <formula>1499.99</formula>
    </cfRule>
    <cfRule type="cellIs" dxfId="1460" priority="5" stopIfTrue="1" operator="between">
      <formula>1500</formula>
      <formula>1999.99</formula>
    </cfRule>
  </conditionalFormatting>
  <conditionalFormatting sqref="D1:D1048576">
    <cfRule type="cellIs" dxfId="1459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700-000000000000}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</sheetPr>
  <dimension ref="A1:I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5" width="8.28515625" style="11" customWidth="1"/>
    <col min="6" max="6" width="8" customWidth="1"/>
    <col min="7" max="7" width="8.28515625" style="12" customWidth="1"/>
    <col min="8" max="8" width="10.28515625" bestFit="1" customWidth="1"/>
    <col min="9" max="9" width="5.85546875" customWidth="1"/>
  </cols>
  <sheetData>
    <row r="1" spans="1:9" s="30" customFormat="1" x14ac:dyDescent="0.2">
      <c r="A1" s="161" t="s">
        <v>55</v>
      </c>
      <c r="B1" s="22" t="s">
        <v>0</v>
      </c>
      <c r="C1" s="192" t="s">
        <v>238</v>
      </c>
      <c r="D1" s="192" t="s">
        <v>929</v>
      </c>
      <c r="E1" s="305" t="s">
        <v>948</v>
      </c>
      <c r="F1" s="23" t="s">
        <v>2</v>
      </c>
      <c r="G1" s="23" t="s">
        <v>237</v>
      </c>
      <c r="H1" s="21" t="s">
        <v>1</v>
      </c>
      <c r="I1" s="24" t="s">
        <v>3</v>
      </c>
    </row>
    <row r="2" spans="1:9" x14ac:dyDescent="0.2">
      <c r="A2" s="1" t="s">
        <v>949</v>
      </c>
      <c r="B2" s="2">
        <v>4.1666666666666664E-2</v>
      </c>
      <c r="C2" s="14">
        <v>14.16</v>
      </c>
      <c r="D2" s="14">
        <v>1.7</v>
      </c>
      <c r="E2" s="330">
        <f t="shared" ref="E2:E7" si="0">D2/C2</f>
        <v>0.12005649717514123</v>
      </c>
      <c r="F2" s="13">
        <v>315</v>
      </c>
      <c r="G2" s="12">
        <v>14.2</v>
      </c>
      <c r="H2" s="72">
        <v>435</v>
      </c>
      <c r="I2" s="6" t="s">
        <v>639</v>
      </c>
    </row>
    <row r="3" spans="1:9" x14ac:dyDescent="0.2">
      <c r="A3" s="1" t="s">
        <v>931</v>
      </c>
      <c r="B3" s="2">
        <v>4.1666666666666664E-2</v>
      </c>
      <c r="C3" s="11">
        <v>12.3</v>
      </c>
      <c r="D3" s="11">
        <v>1.3</v>
      </c>
      <c r="E3" s="330">
        <f t="shared" si="0"/>
        <v>0.1056910569105691</v>
      </c>
      <c r="F3" s="72">
        <v>320</v>
      </c>
      <c r="G3" s="12">
        <v>12.3</v>
      </c>
      <c r="H3" s="72">
        <v>443</v>
      </c>
      <c r="I3" s="6" t="s">
        <v>639</v>
      </c>
    </row>
    <row r="4" spans="1:9" x14ac:dyDescent="0.2">
      <c r="A4" s="1" t="s">
        <v>933</v>
      </c>
      <c r="B4" s="2">
        <v>4.6180555555555558E-2</v>
      </c>
      <c r="C4" s="3">
        <v>15</v>
      </c>
      <c r="D4" s="3">
        <v>1.4</v>
      </c>
      <c r="E4" s="330">
        <f t="shared" si="0"/>
        <v>9.3333333333333324E-2</v>
      </c>
      <c r="F4" s="72">
        <v>330</v>
      </c>
      <c r="G4" s="12">
        <v>13.5</v>
      </c>
      <c r="H4" s="13">
        <v>455</v>
      </c>
      <c r="I4" s="191" t="s">
        <v>639</v>
      </c>
    </row>
    <row r="5" spans="1:9" x14ac:dyDescent="0.2">
      <c r="A5" s="1" t="s">
        <v>927</v>
      </c>
      <c r="B5" s="2">
        <v>7.2916666666666671E-2</v>
      </c>
      <c r="C5" s="14">
        <v>27</v>
      </c>
      <c r="D5" s="14">
        <v>2</v>
      </c>
      <c r="E5" s="330">
        <f t="shared" si="0"/>
        <v>7.407407407407407E-2</v>
      </c>
      <c r="F5" s="13">
        <v>400</v>
      </c>
      <c r="G5" s="9">
        <v>15.428571428571427</v>
      </c>
      <c r="H5" s="13">
        <v>495</v>
      </c>
      <c r="I5" s="6" t="s">
        <v>639</v>
      </c>
    </row>
    <row r="6" spans="1:9" x14ac:dyDescent="0.2">
      <c r="A6" s="1" t="s">
        <v>932</v>
      </c>
      <c r="B6" s="2">
        <v>5.2083333333333336E-2</v>
      </c>
      <c r="C6" s="11">
        <v>18.399999999999999</v>
      </c>
      <c r="D6" s="11">
        <v>1.2</v>
      </c>
      <c r="E6" s="330">
        <f t="shared" si="0"/>
        <v>6.5217391304347824E-2</v>
      </c>
      <c r="F6" s="13">
        <v>345</v>
      </c>
      <c r="G6" s="4">
        <v>14.719999999999999</v>
      </c>
      <c r="H6" s="13">
        <v>454</v>
      </c>
      <c r="I6" s="6" t="s">
        <v>6</v>
      </c>
    </row>
    <row r="7" spans="1:9" x14ac:dyDescent="0.2">
      <c r="A7" s="1" t="s">
        <v>928</v>
      </c>
      <c r="B7" s="2">
        <v>6.9942129629629632E-2</v>
      </c>
      <c r="C7" s="11">
        <v>31</v>
      </c>
      <c r="D7" s="11">
        <v>1.5</v>
      </c>
      <c r="E7" s="330">
        <f t="shared" si="0"/>
        <v>4.8387096774193547E-2</v>
      </c>
      <c r="F7" s="13">
        <v>241</v>
      </c>
      <c r="G7" s="12">
        <v>18.5</v>
      </c>
      <c r="H7" s="13">
        <v>261</v>
      </c>
      <c r="I7" s="6" t="s">
        <v>639</v>
      </c>
    </row>
    <row r="8" spans="1:9" x14ac:dyDescent="0.2">
      <c r="C8" s="106"/>
      <c r="D8" s="106"/>
      <c r="E8" s="331"/>
      <c r="F8" s="13"/>
      <c r="I8" s="6"/>
    </row>
    <row r="9" spans="1:9" x14ac:dyDescent="0.2">
      <c r="E9" s="332"/>
      <c r="F9" s="13"/>
    </row>
    <row r="10" spans="1:9" x14ac:dyDescent="0.2">
      <c r="E10" s="332"/>
    </row>
    <row r="11" spans="1:9" x14ac:dyDescent="0.2">
      <c r="C11" s="3"/>
      <c r="D11" s="3"/>
      <c r="E11" s="333"/>
      <c r="F11" s="5"/>
      <c r="G11" s="9"/>
      <c r="H11" s="13"/>
      <c r="I11" s="191"/>
    </row>
    <row r="12" spans="1:9" x14ac:dyDescent="0.2">
      <c r="E12" s="332"/>
    </row>
    <row r="13" spans="1:9" x14ac:dyDescent="0.2">
      <c r="C13" s="3"/>
      <c r="D13" s="3"/>
      <c r="E13" s="333"/>
      <c r="F13" s="8"/>
      <c r="H13" s="13"/>
      <c r="I13" s="191"/>
    </row>
    <row r="14" spans="1:9" x14ac:dyDescent="0.2">
      <c r="C14" s="3"/>
      <c r="D14" s="3"/>
      <c r="E14" s="333"/>
      <c r="F14" s="13"/>
      <c r="H14" s="13"/>
      <c r="I14" s="6"/>
    </row>
    <row r="15" spans="1:9" x14ac:dyDescent="0.2">
      <c r="C15" s="14"/>
      <c r="D15" s="14"/>
      <c r="E15" s="330"/>
      <c r="F15" s="13"/>
      <c r="G15" s="9"/>
      <c r="H15" s="13"/>
      <c r="I15" s="6"/>
    </row>
    <row r="16" spans="1:9" x14ac:dyDescent="0.2">
      <c r="E16" s="332"/>
      <c r="I16" s="113"/>
    </row>
    <row r="17" spans="3:9" x14ac:dyDescent="0.2">
      <c r="E17" s="332"/>
    </row>
    <row r="18" spans="3:9" x14ac:dyDescent="0.2">
      <c r="E18" s="332"/>
      <c r="F18" s="13"/>
      <c r="G18" s="9"/>
      <c r="H18" s="13"/>
      <c r="I18" s="6"/>
    </row>
    <row r="19" spans="3:9" x14ac:dyDescent="0.2">
      <c r="C19" s="14"/>
      <c r="D19" s="14"/>
      <c r="E19" s="330"/>
      <c r="F19" s="13"/>
    </row>
    <row r="20" spans="3:9" x14ac:dyDescent="0.2">
      <c r="E20" s="332"/>
    </row>
    <row r="21" spans="3:9" x14ac:dyDescent="0.2">
      <c r="E21" s="332"/>
    </row>
    <row r="22" spans="3:9" x14ac:dyDescent="0.2">
      <c r="C22" s="14"/>
      <c r="D22" s="14"/>
      <c r="E22" s="330"/>
      <c r="F22" s="13"/>
      <c r="G22" s="9"/>
      <c r="H22" s="13"/>
      <c r="I22" s="193"/>
    </row>
    <row r="23" spans="3:9" x14ac:dyDescent="0.2">
      <c r="C23" s="3"/>
      <c r="D23" s="3"/>
      <c r="E23" s="333"/>
      <c r="F23" s="13"/>
      <c r="G23" s="9"/>
      <c r="H23" s="13"/>
      <c r="I23" s="6"/>
    </row>
    <row r="24" spans="3:9" x14ac:dyDescent="0.2">
      <c r="C24" s="14"/>
      <c r="D24" s="14"/>
      <c r="E24" s="330"/>
      <c r="F24" s="8"/>
    </row>
    <row r="25" spans="3:9" x14ac:dyDescent="0.2">
      <c r="C25" s="14"/>
      <c r="D25" s="14"/>
      <c r="E25" s="330"/>
      <c r="F25" s="8"/>
    </row>
    <row r="26" spans="3:9" x14ac:dyDescent="0.2">
      <c r="C26" s="3"/>
      <c r="D26" s="3"/>
      <c r="E26" s="333"/>
      <c r="F26" s="13"/>
      <c r="G26" s="4"/>
      <c r="I26" s="6"/>
    </row>
    <row r="27" spans="3:9" x14ac:dyDescent="0.2">
      <c r="C27" s="14"/>
      <c r="D27" s="14"/>
      <c r="E27" s="330"/>
      <c r="F27" s="13"/>
      <c r="G27" s="9"/>
      <c r="H27" s="13"/>
      <c r="I27" s="6"/>
    </row>
    <row r="28" spans="3:9" x14ac:dyDescent="0.2">
      <c r="E28" s="332"/>
      <c r="F28" s="13"/>
    </row>
    <row r="29" spans="3:9" x14ac:dyDescent="0.2">
      <c r="C29" s="3"/>
      <c r="D29" s="3"/>
      <c r="E29" s="333"/>
      <c r="F29" s="13"/>
      <c r="G29" s="9"/>
      <c r="H29" s="13"/>
      <c r="I29" s="16"/>
    </row>
    <row r="30" spans="3:9" x14ac:dyDescent="0.2">
      <c r="C30" s="3"/>
      <c r="D30" s="3"/>
      <c r="E30" s="333"/>
      <c r="F30" s="8"/>
      <c r="G30" s="9"/>
      <c r="H30" s="13"/>
      <c r="I30" s="6"/>
    </row>
    <row r="31" spans="3:9" x14ac:dyDescent="0.2">
      <c r="C31" s="3"/>
      <c r="D31" s="3"/>
      <c r="E31" s="333"/>
      <c r="F31" s="13"/>
      <c r="G31" s="9"/>
      <c r="H31" s="13"/>
      <c r="I31" s="6"/>
    </row>
    <row r="32" spans="3:9" x14ac:dyDescent="0.2">
      <c r="E32" s="332"/>
      <c r="F32" s="8"/>
      <c r="G32" s="9"/>
      <c r="H32" s="13"/>
      <c r="I32" s="6"/>
    </row>
    <row r="33" spans="3:9" x14ac:dyDescent="0.2">
      <c r="C33" s="3"/>
      <c r="D33" s="3"/>
      <c r="E33" s="333"/>
      <c r="F33" s="13"/>
      <c r="G33" s="9"/>
      <c r="H33" s="13"/>
      <c r="I33" s="6"/>
    </row>
    <row r="34" spans="3:9" x14ac:dyDescent="0.2">
      <c r="C34" s="3"/>
      <c r="D34" s="3"/>
      <c r="E34" s="333"/>
      <c r="F34" s="8"/>
      <c r="G34" s="9"/>
      <c r="H34" s="13"/>
      <c r="I34" s="6"/>
    </row>
    <row r="35" spans="3:9" x14ac:dyDescent="0.2">
      <c r="C35" s="3"/>
      <c r="D35" s="3"/>
      <c r="E35" s="333"/>
      <c r="F35" s="13"/>
      <c r="H35" s="13"/>
      <c r="I35" s="6"/>
    </row>
    <row r="36" spans="3:9" x14ac:dyDescent="0.2">
      <c r="E36" s="332"/>
      <c r="F36" s="13"/>
      <c r="H36" s="13"/>
      <c r="I36" s="6"/>
    </row>
    <row r="37" spans="3:9" x14ac:dyDescent="0.2">
      <c r="C37" s="3"/>
      <c r="D37" s="3"/>
      <c r="E37" s="333"/>
      <c r="F37" s="13"/>
      <c r="H37" s="13"/>
    </row>
    <row r="38" spans="3:9" x14ac:dyDescent="0.2">
      <c r="C38" s="3"/>
      <c r="D38" s="3"/>
      <c r="E38" s="333"/>
      <c r="F38" s="13"/>
      <c r="G38" s="9"/>
      <c r="H38" s="13"/>
    </row>
    <row r="39" spans="3:9" x14ac:dyDescent="0.2">
      <c r="C39" s="3"/>
      <c r="D39" s="3"/>
      <c r="E39" s="333"/>
      <c r="F39" s="13"/>
      <c r="G39" s="4"/>
      <c r="H39" s="13"/>
    </row>
    <row r="40" spans="3:9" x14ac:dyDescent="0.2">
      <c r="E40" s="332"/>
      <c r="F40" s="13"/>
      <c r="G40" s="9"/>
    </row>
    <row r="41" spans="3:9" x14ac:dyDescent="0.2">
      <c r="E41" s="332"/>
      <c r="H41" s="13"/>
      <c r="I41" s="6"/>
    </row>
    <row r="42" spans="3:9" x14ac:dyDescent="0.2">
      <c r="E42" s="332"/>
    </row>
    <row r="43" spans="3:9" x14ac:dyDescent="0.2">
      <c r="E43" s="332"/>
    </row>
    <row r="44" spans="3:9" x14ac:dyDescent="0.2">
      <c r="E44" s="332"/>
      <c r="G44" s="9"/>
    </row>
    <row r="46" spans="3:9" x14ac:dyDescent="0.2">
      <c r="G46" s="9"/>
    </row>
    <row r="47" spans="3:9" x14ac:dyDescent="0.2">
      <c r="G47" s="9"/>
    </row>
  </sheetData>
  <sortState xmlns:xlrd2="http://schemas.microsoft.com/office/spreadsheetml/2017/richdata2" ref="A2:I7">
    <sortCondition descending="1" ref="E1:E7"/>
  </sortState>
  <conditionalFormatting sqref="F2:F1048576">
    <cfRule type="cellIs" dxfId="1458" priority="10" stopIfTrue="1" operator="between">
      <formula>0</formula>
      <formula>99.99</formula>
    </cfRule>
    <cfRule type="cellIs" dxfId="1457" priority="11" stopIfTrue="1" operator="between">
      <formula>100</formula>
      <formula>499.99</formula>
    </cfRule>
    <cfRule type="cellIs" dxfId="1456" priority="12" stopIfTrue="1" operator="between">
      <formula>500</formula>
      <formula>999.99</formula>
    </cfRule>
    <cfRule type="cellIs" dxfId="1455" priority="13" stopIfTrue="1" operator="between">
      <formula>1000</formula>
      <formula>1499.99</formula>
    </cfRule>
    <cfRule type="cellIs" dxfId="1454" priority="14" stopIfTrue="1" operator="between">
      <formula>1500</formula>
      <formula>1999.99</formula>
    </cfRule>
  </conditionalFormatting>
  <conditionalFormatting sqref="G1:G1048576">
    <cfRule type="cellIs" dxfId="1453" priority="39" stopIfTrue="1" operator="between">
      <formula>0</formula>
      <formula>19.99</formula>
    </cfRule>
    <cfRule type="cellIs" dxfId="1452" priority="40" stopIfTrue="1" operator="between">
      <formula>10</formula>
      <formula>24.99</formula>
    </cfRule>
    <cfRule type="cellIs" dxfId="1451" priority="41" stopIfTrue="1" operator="between">
      <formula>25</formula>
      <formula>99.99</formula>
    </cfRule>
  </conditionalFormatting>
  <conditionalFormatting sqref="B1:B1048576">
    <cfRule type="cellIs" dxfId="1450" priority="34" stopIfTrue="1" operator="between">
      <formula>0</formula>
      <formula>0.041666665</formula>
    </cfRule>
    <cfRule type="cellIs" dxfId="1449" priority="35" stopIfTrue="1" operator="between">
      <formula>0.0416666666666667</formula>
      <formula>0.124999884259259</formula>
    </cfRule>
    <cfRule type="cellIs" dxfId="1448" priority="36" stopIfTrue="1" operator="between">
      <formula>0.125</formula>
      <formula>0.166666550925926</formula>
    </cfRule>
    <cfRule type="cellIs" dxfId="1447" priority="37" stopIfTrue="1" operator="between">
      <formula>0.0833333333333333</formula>
      <formula>0.208333217592593</formula>
    </cfRule>
    <cfRule type="cellIs" dxfId="1446" priority="38" stopIfTrue="1" operator="between">
      <formula>0.208333333333333</formula>
      <formula>4.16666655092593</formula>
    </cfRule>
  </conditionalFormatting>
  <conditionalFormatting sqref="H1:H1048576">
    <cfRule type="cellIs" dxfId="1445" priority="28" stopIfTrue="1" operator="between">
      <formula>0</formula>
      <formula>399.99</formula>
    </cfRule>
    <cfRule type="cellIs" dxfId="1444" priority="29" stopIfTrue="1" operator="between">
      <formula>400</formula>
      <formula>449.99</formula>
    </cfRule>
    <cfRule type="cellIs" dxfId="1443" priority="30" stopIfTrue="1" operator="between">
      <formula>450</formula>
      <formula>499.99</formula>
    </cfRule>
    <cfRule type="cellIs" dxfId="1442" priority="31" stopIfTrue="1" operator="between">
      <formula>500</formula>
      <formula>549.99</formula>
    </cfRule>
    <cfRule type="cellIs" dxfId="1441" priority="32" stopIfTrue="1" operator="between">
      <formula>550</formula>
      <formula>599.99</formula>
    </cfRule>
  </conditionalFormatting>
  <conditionalFormatting sqref="H1:H1048576">
    <cfRule type="cellIs" dxfId="1440" priority="33" stopIfTrue="1" operator="between">
      <formula>600</formula>
      <formula>9999.99</formula>
    </cfRule>
  </conditionalFormatting>
  <conditionalFormatting sqref="I1:I1048576">
    <cfRule type="cellIs" dxfId="1439" priority="24" stopIfTrue="1" operator="equal">
      <formula>"CR"</formula>
    </cfRule>
    <cfRule type="cellIs" dxfId="1438" priority="25" stopIfTrue="1" operator="equal">
      <formula>"FB"</formula>
    </cfRule>
    <cfRule type="cellIs" dxfId="1437" priority="26" stopIfTrue="1" operator="equal">
      <formula>"RR"</formula>
    </cfRule>
    <cfRule type="cellIs" dxfId="1436" priority="27" stopIfTrue="1" operator="equal">
      <formula>"MTB"</formula>
    </cfRule>
  </conditionalFormatting>
  <conditionalFormatting sqref="A1:A1048576">
    <cfRule type="expression" dxfId="1435" priority="20" stopIfTrue="1">
      <formula>I1="CR"</formula>
    </cfRule>
    <cfRule type="expression" dxfId="1434" priority="21" stopIfTrue="1">
      <formula>I1="RR"</formula>
    </cfRule>
    <cfRule type="expression" dxfId="1433" priority="22" stopIfTrue="1">
      <formula>I1="FB"</formula>
    </cfRule>
    <cfRule type="expression" dxfId="1432" priority="23" stopIfTrue="1">
      <formula>I1="MTB"</formula>
    </cfRule>
  </conditionalFormatting>
  <conditionalFormatting sqref="C2:E1048576 C1:D1">
    <cfRule type="cellIs" dxfId="1431" priority="16" stopIfTrue="1" operator="between">
      <formula>0</formula>
      <formula>19.99</formula>
    </cfRule>
    <cfRule type="cellIs" dxfId="1430" priority="17" stopIfTrue="1" operator="between">
      <formula>20</formula>
      <formula>49.99</formula>
    </cfRule>
    <cfRule type="cellIs" dxfId="1429" priority="18" stopIfTrue="1" operator="between">
      <formula>50</formula>
      <formula>99.9999</formula>
    </cfRule>
    <cfRule type="cellIs" dxfId="1428" priority="19" stopIfTrue="1" operator="between">
      <formula>100</formula>
      <formula>9999</formula>
    </cfRule>
  </conditionalFormatting>
  <conditionalFormatting sqref="F2:F1048576">
    <cfRule type="cellIs" dxfId="1427" priority="15" stopIfTrue="1" operator="between">
      <formula>2000</formula>
      <formula>9999.99</formula>
    </cfRule>
  </conditionalFormatting>
  <conditionalFormatting sqref="E1">
    <cfRule type="cellIs" dxfId="1426" priority="4" stopIfTrue="1" operator="between">
      <formula>0</formula>
      <formula>99.99</formula>
    </cfRule>
    <cfRule type="cellIs" dxfId="1425" priority="5" stopIfTrue="1" operator="between">
      <formula>100</formula>
      <formula>499.99</formula>
    </cfRule>
    <cfRule type="cellIs" dxfId="1424" priority="6" stopIfTrue="1" operator="between">
      <formula>500</formula>
      <formula>999.99</formula>
    </cfRule>
    <cfRule type="cellIs" dxfId="1423" priority="7" stopIfTrue="1" operator="between">
      <formula>1000</formula>
      <formula>1499.99</formula>
    </cfRule>
    <cfRule type="cellIs" dxfId="1422" priority="8" stopIfTrue="1" operator="between">
      <formula>1500</formula>
      <formula>1999.99</formula>
    </cfRule>
  </conditionalFormatting>
  <conditionalFormatting sqref="E1">
    <cfRule type="cellIs" dxfId="1421" priority="9" stopIfTrue="1" operator="between">
      <formula>2000</formula>
      <formula>9999.99</formula>
    </cfRule>
  </conditionalFormatting>
  <conditionalFormatting sqref="F1">
    <cfRule type="cellIs" dxfId="1420" priority="1" stopIfTrue="1" operator="between">
      <formula>0</formula>
      <formula>19.99</formula>
    </cfRule>
    <cfRule type="cellIs" dxfId="1419" priority="2" stopIfTrue="1" operator="between">
      <formula>10</formula>
      <formula>24.99</formula>
    </cfRule>
    <cfRule type="cellIs" dxfId="1418" priority="3" stopIfTrue="1" operator="between">
      <formula>25</formula>
      <formula>99.99</formula>
    </cfRule>
  </conditionalFormatting>
  <hyperlinks>
    <hyperlink ref="A1" r:id="rId1" tooltip="Normalstartpunkt für Touren ohne Anfahrt" xr:uid="{00000000-0004-0000-0800-0000000000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stat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2005-12-10T19:48:43Z</cp:lastPrinted>
  <dcterms:created xsi:type="dcterms:W3CDTF">2005-12-04T19:40:23Z</dcterms:created>
  <dcterms:modified xsi:type="dcterms:W3CDTF">2022-12-03T20:50:14Z</dcterms:modified>
</cp:coreProperties>
</file>