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 Alegría\Desktop\FELIPE\Postgrado\USP\Pós-doctorado\Matriz de Validação LEMI\"/>
    </mc:Choice>
  </mc:AlternateContent>
  <xr:revisionPtr revIDLastSave="0" documentId="13_ncr:1_{14E3A50E-50B1-4270-A670-942DA0EB894B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Propag. Incertezas (alpha)" sheetId="5" r:id="rId1"/>
    <sheet name="Base de Dados" sheetId="1" r:id="rId2"/>
    <sheet name="Fração de Vaz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G4" i="5"/>
  <c r="G3" i="5"/>
  <c r="E4" i="5"/>
  <c r="E5" i="5"/>
  <c r="E6" i="5"/>
  <c r="E7" i="5"/>
  <c r="E8" i="5"/>
  <c r="E9" i="5"/>
  <c r="E10" i="5"/>
  <c r="E3" i="5"/>
  <c r="R9" i="5"/>
  <c r="R10" i="5"/>
  <c r="P3" i="5"/>
  <c r="R8" i="5" s="1"/>
  <c r="O3" i="5"/>
  <c r="C20" i="5"/>
  <c r="S10" i="2"/>
  <c r="F10" i="5"/>
  <c r="H10" i="5"/>
  <c r="N10" i="2"/>
  <c r="O10" i="2"/>
  <c r="P10" i="2"/>
  <c r="Q10" i="2"/>
  <c r="R10" i="2" s="1"/>
  <c r="K10" i="2"/>
  <c r="J10" i="2"/>
  <c r="I10" i="2"/>
  <c r="H10" i="2"/>
  <c r="G10" i="2"/>
  <c r="E10" i="2"/>
  <c r="F10" i="2"/>
  <c r="C10" i="2"/>
  <c r="B10" i="2"/>
  <c r="AL10" i="1"/>
  <c r="AW10" i="1" s="1"/>
  <c r="AX10" i="1" s="1"/>
  <c r="AY10" i="1" s="1"/>
  <c r="AM10" i="1"/>
  <c r="AR10" i="1" s="1"/>
  <c r="AN10" i="1"/>
  <c r="AO10" i="1"/>
  <c r="AP10" i="1"/>
  <c r="AQ10" i="1"/>
  <c r="AS10" i="1"/>
  <c r="AU10" i="1"/>
  <c r="AV10" i="1"/>
  <c r="AB10" i="1"/>
  <c r="AC10" i="1"/>
  <c r="AE10" i="1"/>
  <c r="AF10" i="1" s="1"/>
  <c r="U10" i="1"/>
  <c r="AK10" i="1"/>
  <c r="P10" i="1"/>
  <c r="R10" i="1"/>
  <c r="V10" i="1"/>
  <c r="E10" i="1"/>
  <c r="D10" i="1" s="1"/>
  <c r="K10" i="1"/>
  <c r="L10" i="1"/>
  <c r="Q10" i="1"/>
  <c r="W10" i="1"/>
  <c r="I9" i="2"/>
  <c r="N4" i="2"/>
  <c r="O4" i="2"/>
  <c r="R4" i="2" s="1"/>
  <c r="S4" i="2" s="1"/>
  <c r="P4" i="2"/>
  <c r="Q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 s="1"/>
  <c r="S7" i="2" s="1"/>
  <c r="N8" i="2"/>
  <c r="O8" i="2"/>
  <c r="P8" i="2"/>
  <c r="Q8" i="2"/>
  <c r="R8" i="2"/>
  <c r="S8" i="2"/>
  <c r="N9" i="2"/>
  <c r="O9" i="2"/>
  <c r="P9" i="2"/>
  <c r="Q9" i="2"/>
  <c r="R9" i="2"/>
  <c r="S9" i="2"/>
  <c r="M4" i="2"/>
  <c r="M5" i="2"/>
  <c r="M7" i="2"/>
  <c r="M8" i="2"/>
  <c r="I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K8" i="2"/>
  <c r="H9" i="2"/>
  <c r="J9" i="2"/>
  <c r="K9" i="2"/>
  <c r="G4" i="2"/>
  <c r="G5" i="2"/>
  <c r="G6" i="2"/>
  <c r="G7" i="2"/>
  <c r="G8" i="2"/>
  <c r="E4" i="2"/>
  <c r="F4" i="2"/>
  <c r="E5" i="2"/>
  <c r="F5" i="2"/>
  <c r="E6" i="2"/>
  <c r="F6" i="2"/>
  <c r="E7" i="2"/>
  <c r="F7" i="2"/>
  <c r="E8" i="2"/>
  <c r="F8" i="2"/>
  <c r="E9" i="2"/>
  <c r="G9" i="2" s="1"/>
  <c r="F9" i="2"/>
  <c r="C4" i="2"/>
  <c r="C5" i="2"/>
  <c r="C6" i="2"/>
  <c r="C7" i="2"/>
  <c r="C8" i="2"/>
  <c r="C9" i="2"/>
  <c r="B6" i="2"/>
  <c r="B5" i="2"/>
  <c r="B4" i="2"/>
  <c r="F9" i="5"/>
  <c r="H9" i="5"/>
  <c r="K33" i="2"/>
  <c r="K32" i="2"/>
  <c r="K31" i="2"/>
  <c r="K30" i="2"/>
  <c r="K29" i="2"/>
  <c r="K28" i="2"/>
  <c r="K27" i="2"/>
  <c r="K26" i="2"/>
  <c r="K34" i="2"/>
  <c r="R4" i="5" l="1"/>
  <c r="R3" i="5"/>
  <c r="R5" i="5"/>
  <c r="R6" i="5"/>
  <c r="R7" i="5"/>
  <c r="J9" i="5"/>
  <c r="J10" i="5"/>
  <c r="E3" i="2"/>
  <c r="Q3" i="2"/>
  <c r="N3" i="2"/>
  <c r="P3" i="2" s="1"/>
  <c r="P3" i="1" l="1"/>
  <c r="AS9" i="1" l="1"/>
  <c r="AU9" i="1" s="1"/>
  <c r="AB9" i="1"/>
  <c r="U9" i="1"/>
  <c r="AE9" i="1" s="1"/>
  <c r="AF9" i="1" s="1"/>
  <c r="V9" i="1"/>
  <c r="R9" i="1"/>
  <c r="Q9" i="1"/>
  <c r="P9" i="1"/>
  <c r="AQ9" i="1" l="1"/>
  <c r="AL9" i="1"/>
  <c r="AO9" i="1" s="1"/>
  <c r="AK9" i="1"/>
  <c r="AN9" i="1" s="1"/>
  <c r="AW9" i="1"/>
  <c r="E9" i="1"/>
  <c r="D9" i="1" s="1"/>
  <c r="K9" i="1"/>
  <c r="L9" i="1"/>
  <c r="W9" i="1" s="1"/>
  <c r="C31" i="2"/>
  <c r="C34" i="2"/>
  <c r="AV9" i="1" l="1"/>
  <c r="AX9" i="1" s="1"/>
  <c r="AY9" i="1" s="1"/>
  <c r="AP9" i="1"/>
  <c r="AM9" i="1"/>
  <c r="AR9" i="1" s="1"/>
  <c r="B9" i="2"/>
  <c r="AC9" i="1"/>
  <c r="D34" i="2"/>
  <c r="D31" i="2"/>
  <c r="D30" i="2"/>
  <c r="D33" i="2" s="1"/>
  <c r="C30" i="2"/>
  <c r="C33" i="2" s="1"/>
  <c r="AS3" i="1" l="1"/>
  <c r="AU3" i="1" s="1"/>
  <c r="AS4" i="1"/>
  <c r="AU4" i="1" s="1"/>
  <c r="AS5" i="1"/>
  <c r="AU5" i="1" s="1"/>
  <c r="AS6" i="1"/>
  <c r="AU6" i="1" s="1"/>
  <c r="AS7" i="1"/>
  <c r="AU7" i="1" s="1"/>
  <c r="AS8" i="1"/>
  <c r="AU8" i="1"/>
  <c r="H4" i="5" l="1"/>
  <c r="H5" i="5"/>
  <c r="H6" i="5"/>
  <c r="H7" i="5"/>
  <c r="H8" i="5"/>
  <c r="H3" i="5"/>
  <c r="F4" i="5"/>
  <c r="F5" i="5"/>
  <c r="F6" i="5"/>
  <c r="F7" i="5"/>
  <c r="F8" i="5"/>
  <c r="F3" i="5"/>
  <c r="C8" i="5"/>
  <c r="C7" i="5"/>
  <c r="C6" i="5"/>
  <c r="C5" i="5"/>
  <c r="C4" i="5"/>
  <c r="C3" i="5"/>
  <c r="C11" i="5" l="1"/>
  <c r="C17" i="5" s="1"/>
  <c r="J8" i="5" l="1"/>
  <c r="J6" i="5" l="1"/>
  <c r="J7" i="5"/>
  <c r="J5" i="5"/>
  <c r="J3" i="5"/>
  <c r="J4" i="5"/>
  <c r="L8" i="1" l="1"/>
  <c r="Q8" i="1" s="1"/>
  <c r="K8" i="1"/>
  <c r="P8" i="1" s="1"/>
  <c r="L7" i="1"/>
  <c r="Q7" i="1" s="1"/>
  <c r="K7" i="1"/>
  <c r="P7" i="1" s="1"/>
  <c r="L6" i="1"/>
  <c r="Q6" i="1" s="1"/>
  <c r="K6" i="1"/>
  <c r="P6" i="1" s="1"/>
  <c r="L5" i="1"/>
  <c r="Q5" i="1" s="1"/>
  <c r="K5" i="1"/>
  <c r="P5" i="1" s="1"/>
  <c r="L4" i="1"/>
  <c r="Q4" i="1" s="1"/>
  <c r="K4" i="1"/>
  <c r="P4" i="1" s="1"/>
  <c r="L3" i="1"/>
  <c r="Q3" i="1" s="1"/>
  <c r="K3" i="1"/>
  <c r="U3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R6" i="1" l="1"/>
  <c r="V6" i="1" s="1"/>
  <c r="U6" i="1"/>
  <c r="R3" i="1"/>
  <c r="V3" i="1" s="1"/>
  <c r="R4" i="1"/>
  <c r="V4" i="1" s="1"/>
  <c r="U4" i="1"/>
  <c r="R5" i="1"/>
  <c r="V5" i="1" s="1"/>
  <c r="U5" i="1"/>
  <c r="U7" i="1"/>
  <c r="R7" i="1"/>
  <c r="V7" i="1" s="1"/>
  <c r="R8" i="1"/>
  <c r="V8" i="1" s="1"/>
  <c r="U8" i="1"/>
  <c r="W3" i="1"/>
  <c r="AC3" i="1" s="1"/>
  <c r="AB3" i="1"/>
  <c r="AL3" i="1" s="1"/>
  <c r="W4" i="1"/>
  <c r="AC4" i="1" s="1"/>
  <c r="AB4" i="1"/>
  <c r="AL4" i="1" s="1"/>
  <c r="W5" i="1"/>
  <c r="AC5" i="1" s="1"/>
  <c r="AB5" i="1"/>
  <c r="AL5" i="1" s="1"/>
  <c r="AB6" i="1"/>
  <c r="AL6" i="1" s="1"/>
  <c r="W6" i="1"/>
  <c r="AC6" i="1" s="1"/>
  <c r="W7" i="1"/>
  <c r="AC7" i="1" s="1"/>
  <c r="AB7" i="1"/>
  <c r="AL7" i="1" s="1"/>
  <c r="W8" i="1"/>
  <c r="AC8" i="1" s="1"/>
  <c r="AB8" i="1"/>
  <c r="AL8" i="1" s="1"/>
  <c r="AO8" i="1" l="1"/>
  <c r="AW8" i="1"/>
  <c r="AQ7" i="1"/>
  <c r="AE7" i="1"/>
  <c r="AF7" i="1" s="1"/>
  <c r="AK7" i="1"/>
  <c r="AW6" i="1"/>
  <c r="AO6" i="1"/>
  <c r="AW4" i="1"/>
  <c r="AO4" i="1"/>
  <c r="AQ6" i="1"/>
  <c r="AE6" i="1"/>
  <c r="AF6" i="1" s="1"/>
  <c r="AK6" i="1"/>
  <c r="AW3" i="1"/>
  <c r="AO3" i="1"/>
  <c r="AQ8" i="1"/>
  <c r="AE8" i="1"/>
  <c r="AF8" i="1" s="1"/>
  <c r="AK8" i="1"/>
  <c r="AO7" i="1"/>
  <c r="AW7" i="1"/>
  <c r="AW5" i="1"/>
  <c r="AO5" i="1"/>
  <c r="AQ5" i="1"/>
  <c r="AE5" i="1"/>
  <c r="AF5" i="1" s="1"/>
  <c r="AK5" i="1"/>
  <c r="AQ4" i="1"/>
  <c r="AE4" i="1"/>
  <c r="AF4" i="1" s="1"/>
  <c r="AK4" i="1"/>
  <c r="AE3" i="1"/>
  <c r="AF3" i="1" s="1"/>
  <c r="AK3" i="1"/>
  <c r="AQ3" i="1"/>
  <c r="F3" i="2" l="1"/>
  <c r="O3" i="2"/>
  <c r="R3" i="2" s="1"/>
  <c r="S3" i="2" s="1"/>
  <c r="G3" i="2"/>
  <c r="AM8" i="1"/>
  <c r="AR8" i="1" s="1"/>
  <c r="AV8" i="1"/>
  <c r="AX8" i="1" s="1"/>
  <c r="AY8" i="1" s="1"/>
  <c r="AN8" i="1"/>
  <c r="AM6" i="1"/>
  <c r="AR6" i="1" s="1"/>
  <c r="AN6" i="1"/>
  <c r="AV6" i="1"/>
  <c r="AX6" i="1" s="1"/>
  <c r="AY6" i="1" s="1"/>
  <c r="AV3" i="1"/>
  <c r="AX3" i="1" s="1"/>
  <c r="AY3" i="1" s="1"/>
  <c r="AM3" i="1"/>
  <c r="AR3" i="1" s="1"/>
  <c r="AN3" i="1"/>
  <c r="AV4" i="1"/>
  <c r="AX4" i="1" s="1"/>
  <c r="AY4" i="1" s="1"/>
  <c r="AN4" i="1"/>
  <c r="AM4" i="1"/>
  <c r="AR4" i="1" s="1"/>
  <c r="AM7" i="1"/>
  <c r="AR7" i="1" s="1"/>
  <c r="AN7" i="1"/>
  <c r="AV7" i="1"/>
  <c r="AX7" i="1" s="1"/>
  <c r="AY7" i="1" s="1"/>
  <c r="AV5" i="1"/>
  <c r="AX5" i="1" s="1"/>
  <c r="AY5" i="1" s="1"/>
  <c r="AN5" i="1"/>
  <c r="AM5" i="1"/>
  <c r="AR5" i="1" s="1"/>
  <c r="AP8" i="1" l="1"/>
  <c r="B8" i="2"/>
  <c r="AP7" i="1"/>
  <c r="B7" i="2"/>
  <c r="AP4" i="1"/>
  <c r="AP3" i="1"/>
  <c r="M3" i="2"/>
  <c r="I3" i="2"/>
  <c r="K3" i="2"/>
  <c r="C3" i="2"/>
  <c r="B3" i="2"/>
  <c r="AP6" i="1"/>
  <c r="AP5" i="1"/>
</calcChain>
</file>

<file path=xl/sharedStrings.xml><?xml version="1.0" encoding="utf-8"?>
<sst xmlns="http://schemas.openxmlformats.org/spreadsheetml/2006/main" count="131" uniqueCount="100">
  <si>
    <t>Código .txt</t>
  </si>
  <si>
    <t>Matriz Experimental</t>
  </si>
  <si>
    <t>Points</t>
  </si>
  <si>
    <t>beta</t>
  </si>
  <si>
    <t>J</t>
  </si>
  <si>
    <t>J-SG</t>
  </si>
  <si>
    <t>J-SL</t>
  </si>
  <si>
    <t>P2 (bar)</t>
  </si>
  <si>
    <t>T2 (°C)</t>
  </si>
  <si>
    <t>QG_2 (m3/h)</t>
  </si>
  <si>
    <t>QL (m3/h)</t>
  </si>
  <si>
    <t>Na linha</t>
  </si>
  <si>
    <t>P1 (bar)</t>
  </si>
  <si>
    <t>T1 (°C)</t>
  </si>
  <si>
    <t>QG_1 (m3/h)</t>
  </si>
  <si>
    <t>AR_linha</t>
  </si>
  <si>
    <t>D_linha (pol.)</t>
  </si>
  <si>
    <t>rho_G (kg/m3)</t>
  </si>
  <si>
    <t>mu_G (Pa s)</t>
  </si>
  <si>
    <t>m_G (kg/h)</t>
  </si>
  <si>
    <t>v_G (m/s)</t>
  </si>
  <si>
    <t>ÁGUA_linha</t>
  </si>
  <si>
    <t>rho_L (kg/m3)</t>
  </si>
  <si>
    <t>mu_L (Pa s)</t>
  </si>
  <si>
    <t>m_L (kg/h)</t>
  </si>
  <si>
    <t>v_L (m/s)</t>
  </si>
  <si>
    <t>BIFÁSICO_mesa</t>
  </si>
  <si>
    <t>D_mesa (m)</t>
  </si>
  <si>
    <t>m_bif (kg/h)</t>
  </si>
  <si>
    <t>G_bif (kg/h m2)</t>
  </si>
  <si>
    <t>Q_G (m3/h)</t>
  </si>
  <si>
    <t>Q_L (m3/h)</t>
  </si>
  <si>
    <t>Q_bif (m3/h)</t>
  </si>
  <si>
    <t>j_G (m/s)</t>
  </si>
  <si>
    <t>j_L (m/s)</t>
  </si>
  <si>
    <t>J_total (m/s)</t>
  </si>
  <si>
    <t>x (-)</t>
  </si>
  <si>
    <t>beta (-)</t>
  </si>
  <si>
    <t>Dh (m)</t>
  </si>
  <si>
    <t>Sigma (N/m)</t>
  </si>
  <si>
    <t>Alpha (Eq.5)</t>
  </si>
  <si>
    <t>Na mesa (teórico)</t>
  </si>
  <si>
    <t>Alpha (Guzhov et al.)</t>
  </si>
  <si>
    <t>Condição</t>
  </si>
  <si>
    <t>Re_G</t>
  </si>
  <si>
    <t>Re_L</t>
  </si>
  <si>
    <t>f_tp</t>
  </si>
  <si>
    <t>e (mm)</t>
  </si>
  <si>
    <t>Re_m</t>
  </si>
  <si>
    <t>u_est</t>
  </si>
  <si>
    <t>u_flut</t>
  </si>
  <si>
    <t>u_geom</t>
  </si>
  <si>
    <t>u_sist</t>
  </si>
  <si>
    <t>u_inc</t>
  </si>
  <si>
    <t>u_total</t>
  </si>
  <si>
    <t>E (keV)</t>
  </si>
  <si>
    <t>Termos Polinômio</t>
  </si>
  <si>
    <t>mu_água (m2/kg)</t>
  </si>
  <si>
    <t>rho (kg/m3)</t>
  </si>
  <si>
    <t>Gamma (1/m)</t>
  </si>
  <si>
    <t>R (m)</t>
  </si>
  <si>
    <t>Hughmark (1965)</t>
  </si>
  <si>
    <t>Guzhov et al. (1967)</t>
  </si>
  <si>
    <t>Zuber e Findlay (1965)</t>
  </si>
  <si>
    <t>Rouhani e Axelsson (1970)</t>
  </si>
  <si>
    <t>Woldesemayat e Ghajar (2007)</t>
  </si>
  <si>
    <t>Dh* (-)</t>
  </si>
  <si>
    <t>Padrão de Escoamento</t>
  </si>
  <si>
    <t>Pistonado</t>
  </si>
  <si>
    <t>Toshiba (1989)</t>
  </si>
  <si>
    <t>ID22</t>
  </si>
  <si>
    <t>ID23</t>
  </si>
  <si>
    <t>ID24</t>
  </si>
  <si>
    <t>ID26</t>
  </si>
  <si>
    <t>ID27</t>
  </si>
  <si>
    <t>ID28</t>
  </si>
  <si>
    <t>Bolhas</t>
  </si>
  <si>
    <t>Alpha exp (-)</t>
  </si>
  <si>
    <t>P (bar)</t>
  </si>
  <si>
    <t>T (°C)</t>
  </si>
  <si>
    <t>Nicklin et al. (1962)</t>
  </si>
  <si>
    <t>WeL</t>
  </si>
  <si>
    <t>y</t>
  </si>
  <si>
    <t>F2</t>
  </si>
  <si>
    <t>F1</t>
  </si>
  <si>
    <t>A_PRM</t>
  </si>
  <si>
    <t>Premoli et al. (1970)</t>
  </si>
  <si>
    <t>Alpha (-)</t>
  </si>
  <si>
    <t>U_GM (m/s)</t>
  </si>
  <si>
    <t>Co (-)</t>
  </si>
  <si>
    <t>Bonnecaze et al. (1971)</t>
  </si>
  <si>
    <t>Kokal e Stanislav (1989)</t>
  </si>
  <si>
    <t>Dix (1971)</t>
  </si>
  <si>
    <t>ID30</t>
  </si>
  <si>
    <t>ID25 o ID29</t>
  </si>
  <si>
    <t>I_G</t>
  </si>
  <si>
    <t>I_L</t>
  </si>
  <si>
    <t>I_médio</t>
  </si>
  <si>
    <t>S</t>
  </si>
  <si>
    <t>I_alpha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</si>
</sst>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1" xfId="0" applyBorder="1"/>
    <xf numFmtId="0" fontId="1" fillId="6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/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Fill="1"/>
    <xf numFmtId="16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Vertical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5B-4CAA-984E-129514124D3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5B-4CAA-984E-129514124D3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5B-4CAA-984E-129514124D33}"/>
              </c:ext>
            </c:extLst>
          </c:dPt>
          <c:xVal>
            <c:numRef>
              <c:f>'Propag. Incertezas (alpha)'!$K$3:$K$10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'Propag. Incertezas (alpha)'!$J$3:$J$10</c:f>
              <c:numCache>
                <c:formatCode>General</c:formatCode>
                <c:ptCount val="8"/>
                <c:pt idx="0">
                  <c:v>2.8075943599413726E-2</c:v>
                </c:pt>
                <c:pt idx="1">
                  <c:v>2.858541798302329E-2</c:v>
                </c:pt>
                <c:pt idx="2">
                  <c:v>2.7437188539792663E-2</c:v>
                </c:pt>
                <c:pt idx="3">
                  <c:v>3.5506032349503128E-2</c:v>
                </c:pt>
                <c:pt idx="4">
                  <c:v>3.5615924242620604E-2</c:v>
                </c:pt>
                <c:pt idx="5">
                  <c:v>3.5308218005289695E-2</c:v>
                </c:pt>
                <c:pt idx="6">
                  <c:v>3.5807531246643889E-2</c:v>
                </c:pt>
                <c:pt idx="7">
                  <c:v>3.5489817670786697E-2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0-4C44-BB81-15984C8A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60992"/>
        <c:axId val="1063149344"/>
      </c:scatterChart>
      <c:valAx>
        <c:axId val="10631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Void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149344"/>
        <c:crosses val="autoZero"/>
        <c:crossBetween val="midCat"/>
      </c:valAx>
      <c:valAx>
        <c:axId val="10631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Experimental Uncertainty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160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7185448416802"/>
          <c:y val="5.0068274920345927E-2"/>
          <c:w val="0.44662726272349185"/>
          <c:h val="0.7478229081173684"/>
        </c:manualLayout>
      </c:layout>
      <c:scatterChart>
        <c:scatterStyle val="lineMarker"/>
        <c:varyColors val="0"/>
        <c:ser>
          <c:idx val="4"/>
          <c:order val="0"/>
          <c:tx>
            <c:strRef>
              <c:f>'Fração de Vazio'!$U$7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(alpha)'!$J$3:$J$22</c:f>
                <c:numCache>
                  <c:formatCode>General</c:formatCode>
                  <c:ptCount val="20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(alpha)'!$J$3:$J$22</c:f>
                <c:numCache>
                  <c:formatCode>General</c:formatCode>
                  <c:ptCount val="20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Dados'!$AZ$3:$AZ$8</c:f>
              <c:numCache>
                <c:formatCode>General</c:formatCode>
                <c:ptCount val="6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</c:numCache>
            </c:numRef>
          </c:xVal>
          <c:yVal>
            <c:numRef>
              <c:f>'Fração de Vazio'!$L$3:$L$22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08-4F14-A8A0-9C87804B1C06}"/>
            </c:ext>
          </c:extLst>
        </c:ser>
        <c:ser>
          <c:idx val="11"/>
          <c:order val="1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'Fração de Vazio'!$E$25:$E$26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Vazio'!$F$25:$F$26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08-4F14-A8A0-9C87804B1C06}"/>
            </c:ext>
          </c:extLst>
        </c:ser>
        <c:ser>
          <c:idx val="1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'Fração de Vazio'!$C$30:$C$31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Vazio'!$D$30:$D$31</c:f>
              <c:numCache>
                <c:formatCode>General</c:formatCode>
                <c:ptCount val="2"/>
                <c:pt idx="0">
                  <c:v>0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6-41DF-AED2-E7B2DC054B11}"/>
            </c:ext>
          </c:extLst>
        </c:ser>
        <c:ser>
          <c:idx val="13"/>
          <c:order val="3"/>
          <c:tx>
            <c:v>+/- 8%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'Fração de Vazio'!$C$33:$C$34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'Fração de Vazio'!$D$33:$D$34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6-41DF-AED2-E7B2DC054B11}"/>
            </c:ext>
          </c:extLst>
        </c:ser>
        <c:ser>
          <c:idx val="0"/>
          <c:order val="4"/>
          <c:tx>
            <c:strRef>
              <c:f>'Fração de Vazio'!$K$26</c:f>
              <c:strCache>
                <c:ptCount val="1"/>
                <c:pt idx="0">
                  <c:v>Nicklin et al. (1962)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plus>
            <c:min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Vazio'!$B$3:$B$10</c:f>
              <c:numCache>
                <c:formatCode>General</c:formatCode>
                <c:ptCount val="8"/>
                <c:pt idx="0">
                  <c:v>0.24139796086497167</c:v>
                </c:pt>
                <c:pt idx="1">
                  <c:v>5.3080147506532525E-2</c:v>
                </c:pt>
                <c:pt idx="2">
                  <c:v>0.44253854340118515</c:v>
                </c:pt>
                <c:pt idx="3">
                  <c:v>0.44201748878662378</c:v>
                </c:pt>
                <c:pt idx="4">
                  <c:v>0.35412062757019114</c:v>
                </c:pt>
                <c:pt idx="5">
                  <c:v>0.49939062299242387</c:v>
                </c:pt>
                <c:pt idx="6">
                  <c:v>0.26981736952103125</c:v>
                </c:pt>
                <c:pt idx="7">
                  <c:v>0.44230999615022781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A-420B-8D9E-F147E4A27875}"/>
            </c:ext>
          </c:extLst>
        </c:ser>
        <c:ser>
          <c:idx val="1"/>
          <c:order val="5"/>
          <c:tx>
            <c:strRef>
              <c:f>'Fração de Vazio'!$K$27</c:f>
              <c:strCache>
                <c:ptCount val="1"/>
                <c:pt idx="0">
                  <c:v>Bonnecaze et al. (1971)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plus>
            <c:min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Vazio'!$C$3:$C$10</c:f>
              <c:numCache>
                <c:formatCode>General</c:formatCode>
                <c:ptCount val="8"/>
                <c:pt idx="0">
                  <c:v>0.24143909850231277</c:v>
                </c:pt>
                <c:pt idx="1">
                  <c:v>5.3087491688076249E-2</c:v>
                </c:pt>
                <c:pt idx="2">
                  <c:v>0.44261522427575006</c:v>
                </c:pt>
                <c:pt idx="3">
                  <c:v>0.4421707360460258</c:v>
                </c:pt>
                <c:pt idx="4">
                  <c:v>0.35421678063019268</c:v>
                </c:pt>
                <c:pt idx="5">
                  <c:v>0.49948368034897395</c:v>
                </c:pt>
                <c:pt idx="6">
                  <c:v>0.26992682922272104</c:v>
                </c:pt>
                <c:pt idx="7">
                  <c:v>0.4424457774299777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A-420B-8D9E-F147E4A27875}"/>
            </c:ext>
          </c:extLst>
        </c:ser>
        <c:ser>
          <c:idx val="2"/>
          <c:order val="6"/>
          <c:tx>
            <c:strRef>
              <c:f>'Fração de Vazio'!$K$28</c:f>
              <c:strCache>
                <c:ptCount val="1"/>
                <c:pt idx="0">
                  <c:v>Rouhani e Axelsson (1970)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Vazio'!$G$3:$G$10</c:f>
              <c:numCache>
                <c:formatCode>General</c:formatCode>
                <c:ptCount val="8"/>
                <c:pt idx="0">
                  <c:v>0.24529493614752654</c:v>
                </c:pt>
                <c:pt idx="1">
                  <c:v>5.4202702612025887E-2</c:v>
                </c:pt>
                <c:pt idx="2">
                  <c:v>0.4475294720513332</c:v>
                </c:pt>
                <c:pt idx="3">
                  <c:v>0.46185616500121185</c:v>
                </c:pt>
                <c:pt idx="4">
                  <c:v>0.36589717640992553</c:v>
                </c:pt>
                <c:pt idx="5">
                  <c:v>0.51117615222310731</c:v>
                </c:pt>
                <c:pt idx="6">
                  <c:v>0.28302176448747102</c:v>
                </c:pt>
                <c:pt idx="7">
                  <c:v>0.45977587492551325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A-420B-8D9E-F147E4A27875}"/>
            </c:ext>
          </c:extLst>
        </c:ser>
        <c:ser>
          <c:idx val="3"/>
          <c:order val="7"/>
          <c:tx>
            <c:strRef>
              <c:f>'Fração de Vazio'!$K$29</c:f>
              <c:strCache>
                <c:ptCount val="1"/>
                <c:pt idx="0">
                  <c:v>Woldesemayat e Ghajar (2007)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Vazio'!$H$3:$H$10</c:f>
              <c:numCache>
                <c:formatCode>General</c:formatCode>
                <c:ptCount val="8"/>
                <c:pt idx="2">
                  <c:v>0.50030216651971327</c:v>
                </c:pt>
                <c:pt idx="3">
                  <c:v>0.42227357578736013</c:v>
                </c:pt>
                <c:pt idx="4">
                  <c:v>0.38293889126964131</c:v>
                </c:pt>
                <c:pt idx="5">
                  <c:v>0.50077686658834475</c:v>
                </c:pt>
                <c:pt idx="6">
                  <c:v>0.29793307297712662</c:v>
                </c:pt>
                <c:pt idx="7">
                  <c:v>0.43103843685004622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A-420B-8D9E-F147E4A27875}"/>
            </c:ext>
          </c:extLst>
        </c:ser>
        <c:ser>
          <c:idx val="5"/>
          <c:order val="8"/>
          <c:tx>
            <c:strRef>
              <c:f>'Fração de Vazio'!$K$30</c:f>
              <c:strCache>
                <c:ptCount val="1"/>
                <c:pt idx="0">
                  <c:v>Kokal e Stanislav (1989)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Vazio'!$I$3:$I$10</c:f>
              <c:numCache>
                <c:formatCode>General</c:formatCode>
                <c:ptCount val="8"/>
                <c:pt idx="0">
                  <c:v>0.24165218429194882</c:v>
                </c:pt>
                <c:pt idx="1">
                  <c:v>5.3151591704802485E-2</c:v>
                </c:pt>
                <c:pt idx="2">
                  <c:v>0.44285941086977271</c:v>
                </c:pt>
                <c:pt idx="3">
                  <c:v>0.44325326135322346</c:v>
                </c:pt>
                <c:pt idx="4">
                  <c:v>0.35486614388460103</c:v>
                </c:pt>
                <c:pt idx="5">
                  <c:v>0.50012997135462001</c:v>
                </c:pt>
                <c:pt idx="6">
                  <c:v>0.2706468660243041</c:v>
                </c:pt>
                <c:pt idx="7">
                  <c:v>0.44340314230105188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A-420B-8D9E-F147E4A27875}"/>
            </c:ext>
          </c:extLst>
        </c:ser>
        <c:ser>
          <c:idx val="6"/>
          <c:order val="9"/>
          <c:tx>
            <c:strRef>
              <c:f>'Fração de Vazio'!$K$31</c:f>
              <c:strCache>
                <c:ptCount val="1"/>
                <c:pt idx="0">
                  <c:v>Dix (1971)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Vazio'!$J$3:$J$10</c:f>
              <c:numCache>
                <c:formatCode>General</c:formatCode>
                <c:ptCount val="8"/>
                <c:pt idx="2">
                  <c:v>0.45647952197687436</c:v>
                </c:pt>
                <c:pt idx="3">
                  <c:v>0.35941928642780091</c:v>
                </c:pt>
                <c:pt idx="4">
                  <c:v>0.3657489309666882</c:v>
                </c:pt>
                <c:pt idx="6">
                  <c:v>0.2938208700556969</c:v>
                </c:pt>
                <c:pt idx="7">
                  <c:v>0.37155608389717443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6A-420B-8D9E-F147E4A27875}"/>
            </c:ext>
          </c:extLst>
        </c:ser>
        <c:ser>
          <c:idx val="7"/>
          <c:order val="10"/>
          <c:tx>
            <c:strRef>
              <c:f>'Fração de Vazio'!$K$32</c:f>
              <c:strCache>
                <c:ptCount val="1"/>
                <c:pt idx="0">
                  <c:v>Toshiba (1989)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Vazio'!$K$3:$K$10</c:f>
              <c:numCache>
                <c:formatCode>General</c:formatCode>
                <c:ptCount val="8"/>
                <c:pt idx="0">
                  <c:v>0.25158804617798841</c:v>
                </c:pt>
                <c:pt idx="1">
                  <c:v>5.4250590553832335E-2</c:v>
                </c:pt>
                <c:pt idx="2">
                  <c:v>0.47114666998029964</c:v>
                </c:pt>
                <c:pt idx="3">
                  <c:v>0.4166612369304048</c:v>
                </c:pt>
                <c:pt idx="4">
                  <c:v>0.3468713237847208</c:v>
                </c:pt>
                <c:pt idx="5">
                  <c:v>0.50688401790040449</c:v>
                </c:pt>
                <c:pt idx="6">
                  <c:v>0.25073890296211032</c:v>
                </c:pt>
                <c:pt idx="7">
                  <c:v>0.42438806566649895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6A-420B-8D9E-F147E4A27875}"/>
            </c:ext>
          </c:extLst>
        </c:ser>
        <c:ser>
          <c:idx val="8"/>
          <c:order val="11"/>
          <c:tx>
            <c:strRef>
              <c:f>'Fração de Vazio'!$K$33</c:f>
              <c:strCache>
                <c:ptCount val="1"/>
                <c:pt idx="0">
                  <c:v>Hughmark (1965)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plus>
            <c:minus>
              <c:numRef>
                <c:f>'Propag. Incertezas (alpha)'!$J$3:$J$9</c:f>
                <c:numCache>
                  <c:formatCode>General</c:formatCode>
                  <c:ptCount val="7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Vazio'!$M$3:$M$10</c:f>
              <c:numCache>
                <c:formatCode>General</c:formatCode>
                <c:ptCount val="8"/>
                <c:pt idx="0">
                  <c:v>0.2589438834353342</c:v>
                </c:pt>
                <c:pt idx="1">
                  <c:v>5.8286055319808266E-2</c:v>
                </c:pt>
                <c:pt idx="2">
                  <c:v>0.46326247482674854</c:v>
                </c:pt>
                <c:pt idx="4">
                  <c:v>0.41066459754547424</c:v>
                </c:pt>
                <c:pt idx="5">
                  <c:v>0.55306637178574503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6A-420B-8D9E-F147E4A27875}"/>
            </c:ext>
          </c:extLst>
        </c:ser>
        <c:ser>
          <c:idx val="9"/>
          <c:order val="12"/>
          <c:tx>
            <c:strRef>
              <c:f>'Fração de Vazio'!$K$34</c:f>
              <c:strCache>
                <c:ptCount val="1"/>
                <c:pt idx="0">
                  <c:v>Premoli et al. (1970)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plus>
            <c:minus>
              <c:numRef>
                <c:f>'Propag. Incertezas (alpha)'!$J$3:$J$10</c:f>
                <c:numCache>
                  <c:formatCode>General</c:formatCode>
                  <c:ptCount val="8"/>
                  <c:pt idx="0">
                    <c:v>2.8075943599413726E-2</c:v>
                  </c:pt>
                  <c:pt idx="1">
                    <c:v>2.858541798302329E-2</c:v>
                  </c:pt>
                  <c:pt idx="2">
                    <c:v>2.7437188539792663E-2</c:v>
                  </c:pt>
                  <c:pt idx="3">
                    <c:v>3.5506032349503128E-2</c:v>
                  </c:pt>
                  <c:pt idx="4">
                    <c:v>3.5615924242620604E-2</c:v>
                  </c:pt>
                  <c:pt idx="5">
                    <c:v>3.5308218005289695E-2</c:v>
                  </c:pt>
                  <c:pt idx="6">
                    <c:v>3.5807531246643889E-2</c:v>
                  </c:pt>
                  <c:pt idx="7">
                    <c:v>3.5489817670786697E-2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'Base de Dados'!$AZ$3:$AZ$10</c:f>
              <c:numCache>
                <c:formatCode>General</c:formatCode>
                <c:ptCount val="8"/>
                <c:pt idx="0">
                  <c:v>0.25790316591324702</c:v>
                </c:pt>
                <c:pt idx="1">
                  <c:v>6.3782488503546203E-2</c:v>
                </c:pt>
                <c:pt idx="2">
                  <c:v>0.52650906847091405</c:v>
                </c:pt>
                <c:pt idx="3">
                  <c:v>0.41608035722514702</c:v>
                </c:pt>
                <c:pt idx="4">
                  <c:v>0.35742712493888101</c:v>
                </c:pt>
                <c:pt idx="5">
                  <c:v>0.52721014560685597</c:v>
                </c:pt>
                <c:pt idx="6">
                  <c:v>0.25817401873832702</c:v>
                </c:pt>
                <c:pt idx="7">
                  <c:v>0.42515645916363798</c:v>
                </c:pt>
              </c:numCache>
            </c:numRef>
          </c:xVal>
          <c:yVal>
            <c:numRef>
              <c:f>'Fração de Vazio'!$S$3:$S$10</c:f>
              <c:numCache>
                <c:formatCode>General</c:formatCode>
                <c:ptCount val="8"/>
                <c:pt idx="0">
                  <c:v>0.26727167544059999</c:v>
                </c:pt>
                <c:pt idx="1">
                  <c:v>6.7058814104010364E-2</c:v>
                </c:pt>
                <c:pt idx="2">
                  <c:v>0.449483803334216</c:v>
                </c:pt>
                <c:pt idx="3">
                  <c:v>0.40449821409912939</c:v>
                </c:pt>
                <c:pt idx="4">
                  <c:v>0.35565824770632221</c:v>
                </c:pt>
                <c:pt idx="5">
                  <c:v>0.43904799732490712</c:v>
                </c:pt>
                <c:pt idx="6">
                  <c:v>0.30245500582190871</c:v>
                </c:pt>
                <c:pt idx="7">
                  <c:v>0.40625623345285977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6A-420B-8D9E-F147E4A2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41920"/>
        <c:axId val="521141560"/>
      </c:scatterChart>
      <c:valAx>
        <c:axId val="52114192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Experimental Void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141560"/>
        <c:crosses val="autoZero"/>
        <c:crossBetween val="midCat"/>
        <c:majorUnit val="0.2"/>
      </c:valAx>
      <c:valAx>
        <c:axId val="52114156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Predicted Void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141920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9617795296978615"/>
          <c:y val="4.2412882276834193E-2"/>
          <c:w val="0.38245943486318584"/>
          <c:h val="0.801045090119310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22</xdr:row>
      <xdr:rowOff>174625</xdr:rowOff>
    </xdr:from>
    <xdr:to>
      <xdr:col>20</xdr:col>
      <xdr:colOff>549275</xdr:colOff>
      <xdr:row>37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BA50A-2AEF-460E-B1C5-1A5A21435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23</xdr:row>
      <xdr:rowOff>38417</xdr:rowOff>
    </xdr:from>
    <xdr:to>
      <xdr:col>9</xdr:col>
      <xdr:colOff>589280</xdr:colOff>
      <xdr:row>38</xdr:row>
      <xdr:rowOff>66357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78E21-D35F-91C6-1FA7-333C3A00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8039-13EB-4ADA-89B7-63C0FED4C391}">
  <sheetPr codeName="Planilha1"/>
  <dimension ref="B1:S22"/>
  <sheetViews>
    <sheetView workbookViewId="0">
      <selection activeCell="H15" sqref="H15"/>
    </sheetView>
  </sheetViews>
  <sheetFormatPr defaultRowHeight="14.5" x14ac:dyDescent="0.35"/>
  <cols>
    <col min="1" max="1" width="1.36328125" customWidth="1"/>
    <col min="2" max="2" width="7.08984375" bestFit="1" customWidth="1"/>
    <col min="3" max="3" width="16.90625" bestFit="1" customWidth="1"/>
    <col min="4" max="10" width="10.90625" customWidth="1"/>
    <col min="11" max="11" width="10.7265625" customWidth="1"/>
    <col min="19" max="19" width="20.26953125" bestFit="1" customWidth="1"/>
  </cols>
  <sheetData>
    <row r="1" spans="2:19" x14ac:dyDescent="0.35">
      <c r="D1" s="46"/>
      <c r="E1" s="46"/>
      <c r="F1" s="46"/>
      <c r="G1" s="46"/>
      <c r="H1" s="46"/>
      <c r="I1" s="46"/>
      <c r="J1" s="46"/>
    </row>
    <row r="2" spans="2:19" x14ac:dyDescent="0.35">
      <c r="B2" s="14" t="s">
        <v>55</v>
      </c>
      <c r="C2" s="14" t="s">
        <v>56</v>
      </c>
      <c r="D2" s="42" t="s">
        <v>43</v>
      </c>
      <c r="E2" s="11" t="s">
        <v>49</v>
      </c>
      <c r="F2" s="42" t="s">
        <v>50</v>
      </c>
      <c r="G2" s="42" t="s">
        <v>51</v>
      </c>
      <c r="H2" s="42" t="s">
        <v>52</v>
      </c>
      <c r="I2" s="42" t="s">
        <v>53</v>
      </c>
      <c r="J2" s="42" t="s">
        <v>54</v>
      </c>
      <c r="K2" s="15" t="s">
        <v>77</v>
      </c>
      <c r="M2" s="13" t="s">
        <v>95</v>
      </c>
      <c r="N2" s="13" t="s">
        <v>96</v>
      </c>
      <c r="O2" s="13" t="s">
        <v>97</v>
      </c>
      <c r="P2" s="13" t="s">
        <v>98</v>
      </c>
      <c r="Q2" s="13" t="s">
        <v>99</v>
      </c>
      <c r="R2" s="13" t="s">
        <v>49</v>
      </c>
      <c r="S2" s="13" t="s">
        <v>67</v>
      </c>
    </row>
    <row r="3" spans="2:19" x14ac:dyDescent="0.35">
      <c r="B3" s="14">
        <v>660</v>
      </c>
      <c r="C3" s="14">
        <f>+-60.439566</f>
        <v>-60.439565999999999</v>
      </c>
      <c r="D3" s="7">
        <v>1</v>
      </c>
      <c r="E3" s="19">
        <f>+R3</f>
        <v>4.5691061647113503E-3</v>
      </c>
      <c r="F3" s="7">
        <f>+E3</f>
        <v>4.5691061647113503E-3</v>
      </c>
      <c r="G3" s="7">
        <f>0.1*C$17*C$20</f>
        <v>2.2683506504206873E-2</v>
      </c>
      <c r="H3" s="7">
        <f>+E3*(15/4.5)</f>
        <v>1.5230353882371168E-2</v>
      </c>
      <c r="I3" s="7">
        <v>0</v>
      </c>
      <c r="J3" s="7">
        <f t="shared" ref="J3:J8" si="0">+(E3^2+F3^2+G3^2+H3^2+I3^2)^0.5</f>
        <v>2.8075943599413726E-2</v>
      </c>
      <c r="K3" s="43">
        <v>0.25790316591324702</v>
      </c>
      <c r="M3">
        <v>275191</v>
      </c>
      <c r="N3">
        <v>164175.5</v>
      </c>
      <c r="O3">
        <f>+(M3+N3)/2</f>
        <v>219683.25</v>
      </c>
      <c r="P3">
        <f>+(M3-N3)/O3</f>
        <v>0.50534348886408043</v>
      </c>
      <c r="Q3">
        <v>187570.33452097501</v>
      </c>
      <c r="R3">
        <f>1/(P$3*SQRT(Q3))</f>
        <v>4.5691061647113503E-3</v>
      </c>
      <c r="S3" s="21" t="s">
        <v>76</v>
      </c>
    </row>
    <row r="4" spans="2:19" x14ac:dyDescent="0.35">
      <c r="B4" s="14"/>
      <c r="C4" s="14">
        <f>261.844766*LN(LN(B3))</f>
        <v>489.80880724013224</v>
      </c>
      <c r="D4" s="7">
        <v>2</v>
      </c>
      <c r="E4" s="19">
        <f t="shared" ref="E4:E10" si="1">+R4</f>
        <v>4.8040077596288901E-3</v>
      </c>
      <c r="F4" s="7">
        <f t="shared" ref="F4:F8" si="2">+E4</f>
        <v>4.8040077596288901E-3</v>
      </c>
      <c r="G4" s="7">
        <f>0.1*C$17*C$20</f>
        <v>2.2683506504206873E-2</v>
      </c>
      <c r="H4" s="7">
        <f t="shared" ref="H4:H8" si="3">+E4*(15/4.5)</f>
        <v>1.6013359198762969E-2</v>
      </c>
      <c r="I4" s="7">
        <v>0</v>
      </c>
      <c r="J4" s="7">
        <f t="shared" si="0"/>
        <v>2.858541798302329E-2</v>
      </c>
      <c r="K4" s="44">
        <v>6.3782488503546203E-2</v>
      </c>
      <c r="Q4">
        <v>169675.54421292001</v>
      </c>
      <c r="R4">
        <f t="shared" ref="R4:R10" si="4">1/(P$3*SQRT(Q4))</f>
        <v>4.8040077596288901E-3</v>
      </c>
      <c r="S4" s="21" t="s">
        <v>76</v>
      </c>
    </row>
    <row r="5" spans="2:19" x14ac:dyDescent="0.35">
      <c r="B5" s="14"/>
      <c r="C5" s="14">
        <f>+-408.63705*(LN(LN(B3)))^2</f>
        <v>-1429.8916356187783</v>
      </c>
      <c r="D5" s="7">
        <v>3</v>
      </c>
      <c r="E5" s="19">
        <f t="shared" si="1"/>
        <v>4.2628873687252586E-3</v>
      </c>
      <c r="F5" s="7">
        <f t="shared" si="2"/>
        <v>4.2628873687252586E-3</v>
      </c>
      <c r="G5" s="7">
        <f>0.1*C$17*C$20</f>
        <v>2.2683506504206873E-2</v>
      </c>
      <c r="H5" s="7">
        <f t="shared" si="3"/>
        <v>1.420962456241753E-2</v>
      </c>
      <c r="I5" s="7">
        <v>0</v>
      </c>
      <c r="J5" s="7">
        <f t="shared" si="0"/>
        <v>2.7437188539792663E-2</v>
      </c>
      <c r="K5" s="44">
        <v>0.52650906847091405</v>
      </c>
      <c r="Q5">
        <v>215485.93817807001</v>
      </c>
      <c r="R5">
        <f t="shared" si="4"/>
        <v>4.2628873687252586E-3</v>
      </c>
      <c r="S5" s="21" t="s">
        <v>76</v>
      </c>
    </row>
    <row r="6" spans="2:19" x14ac:dyDescent="0.35">
      <c r="B6" s="14"/>
      <c r="C6" s="14">
        <f>296.81687*(LN(LN(B3)))^3</f>
        <v>1942.8383120954738</v>
      </c>
      <c r="D6" s="7">
        <v>4</v>
      </c>
      <c r="E6" s="19">
        <f t="shared" si="1"/>
        <v>4.3856405859504684E-3</v>
      </c>
      <c r="F6" s="7">
        <f t="shared" si="2"/>
        <v>4.3856405859504684E-3</v>
      </c>
      <c r="G6" s="7">
        <f>0.14*C$17*C$20</f>
        <v>3.1756909105889623E-2</v>
      </c>
      <c r="H6" s="7">
        <f t="shared" si="3"/>
        <v>1.4618801953168229E-2</v>
      </c>
      <c r="I6" s="7">
        <v>0</v>
      </c>
      <c r="J6" s="7">
        <f t="shared" si="0"/>
        <v>3.5506032349503128E-2</v>
      </c>
      <c r="K6" s="44">
        <v>0.41608035722514702</v>
      </c>
      <c r="Q6">
        <v>203591.93809468599</v>
      </c>
      <c r="R6">
        <f t="shared" si="4"/>
        <v>4.3856405859504684E-3</v>
      </c>
      <c r="S6" s="21" t="s">
        <v>68</v>
      </c>
    </row>
    <row r="7" spans="2:19" x14ac:dyDescent="0.35">
      <c r="B7" s="14"/>
      <c r="C7" s="14">
        <f>+-102.856866*(LN(LN(B3)))^4</f>
        <v>-1259.4010703895258</v>
      </c>
      <c r="D7" s="7">
        <v>5</v>
      </c>
      <c r="E7" s="19">
        <f t="shared" si="1"/>
        <v>4.4530841086302796E-3</v>
      </c>
      <c r="F7" s="7">
        <f t="shared" si="2"/>
        <v>4.4530841086302796E-3</v>
      </c>
      <c r="G7" s="7">
        <f>0.14*C$17*C$20</f>
        <v>3.1756909105889623E-2</v>
      </c>
      <c r="H7" s="7">
        <f t="shared" si="3"/>
        <v>1.4843613695434266E-2</v>
      </c>
      <c r="I7" s="7">
        <v>0</v>
      </c>
      <c r="J7" s="7">
        <f t="shared" si="0"/>
        <v>3.5615924242620604E-2</v>
      </c>
      <c r="K7" s="44">
        <v>0.35742712493888101</v>
      </c>
      <c r="Q7">
        <v>197471.69555032</v>
      </c>
      <c r="R7">
        <f t="shared" si="4"/>
        <v>4.4530841086302796E-3</v>
      </c>
      <c r="S7" s="21" t="s">
        <v>68</v>
      </c>
    </row>
    <row r="8" spans="2:19" x14ac:dyDescent="0.35">
      <c r="B8" s="14"/>
      <c r="C8" s="14">
        <f>13.736626*(LN(LN(B3)))^5</f>
        <v>314.62522374211341</v>
      </c>
      <c r="D8" s="7">
        <v>6</v>
      </c>
      <c r="E8" s="19">
        <f t="shared" si="1"/>
        <v>4.2620923133668319E-3</v>
      </c>
      <c r="F8" s="7">
        <f t="shared" si="2"/>
        <v>4.2620923133668319E-3</v>
      </c>
      <c r="G8" s="7">
        <f>0.14*C$17*C$20</f>
        <v>3.1756909105889623E-2</v>
      </c>
      <c r="H8" s="7">
        <f t="shared" si="3"/>
        <v>1.4206974377889441E-2</v>
      </c>
      <c r="I8" s="7">
        <v>0</v>
      </c>
      <c r="J8" s="7">
        <f t="shared" si="0"/>
        <v>3.5308218005289695E-2</v>
      </c>
      <c r="K8" s="45">
        <v>0.52721014560685597</v>
      </c>
      <c r="Q8">
        <v>215566.33964130899</v>
      </c>
      <c r="R8">
        <f t="shared" si="4"/>
        <v>4.2620923133668319E-3</v>
      </c>
      <c r="S8" s="21" t="s">
        <v>68</v>
      </c>
    </row>
    <row r="9" spans="2:19" x14ac:dyDescent="0.35">
      <c r="D9" s="7">
        <v>7</v>
      </c>
      <c r="E9" s="19">
        <f t="shared" si="1"/>
        <v>4.5687796113504349E-3</v>
      </c>
      <c r="F9" s="7">
        <f t="shared" ref="F9:F10" si="5">+E9</f>
        <v>4.5687796113504349E-3</v>
      </c>
      <c r="G9" s="7">
        <f>0.14*C$17*C$20</f>
        <v>3.1756909105889623E-2</v>
      </c>
      <c r="H9" s="7">
        <f t="shared" ref="H9:H10" si="6">+E9*(15/4.5)</f>
        <v>1.5229265371168118E-2</v>
      </c>
      <c r="I9" s="7">
        <v>0</v>
      </c>
      <c r="J9" s="7">
        <f t="shared" ref="J9:J10" si="7">+(E9^2+F9^2+G9^2+H9^2+I9^2)^0.5</f>
        <v>3.5807531246643889E-2</v>
      </c>
      <c r="K9" s="44">
        <v>0.25817401873832702</v>
      </c>
      <c r="Q9">
        <v>187597.14864524399</v>
      </c>
      <c r="R9">
        <f t="shared" si="4"/>
        <v>4.5687796113504349E-3</v>
      </c>
      <c r="S9" s="21" t="s">
        <v>68</v>
      </c>
    </row>
    <row r="10" spans="2:19" x14ac:dyDescent="0.35">
      <c r="C10" s="14" t="s">
        <v>57</v>
      </c>
      <c r="D10" s="7">
        <v>8</v>
      </c>
      <c r="E10" s="19">
        <f t="shared" si="1"/>
        <v>4.3756190275026806E-3</v>
      </c>
      <c r="F10" s="7">
        <f t="shared" si="5"/>
        <v>4.3756190275026806E-3</v>
      </c>
      <c r="G10" s="7">
        <f>0.14*C$17*C$20</f>
        <v>3.1756909105889623E-2</v>
      </c>
      <c r="H10" s="7">
        <f t="shared" si="6"/>
        <v>1.458539675834227E-2</v>
      </c>
      <c r="I10" s="7">
        <v>0</v>
      </c>
      <c r="J10" s="7">
        <f t="shared" si="7"/>
        <v>3.5489817670786697E-2</v>
      </c>
      <c r="K10" s="44">
        <v>0.42515645916363798</v>
      </c>
      <c r="Q10">
        <v>204525.58655529999</v>
      </c>
      <c r="R10">
        <f t="shared" si="4"/>
        <v>4.3756190275026806E-3</v>
      </c>
      <c r="S10" s="21" t="s">
        <v>68</v>
      </c>
    </row>
    <row r="11" spans="2:19" x14ac:dyDescent="0.35">
      <c r="C11" s="14">
        <f>0.1*EXP(C3+C4+C5+C6+C7+C8)</f>
        <v>8.5441022995099477E-3</v>
      </c>
      <c r="D11" s="23"/>
      <c r="E11" s="23"/>
      <c r="F11" s="23"/>
      <c r="G11" s="23"/>
      <c r="H11" s="23"/>
      <c r="I11" s="23"/>
      <c r="J11" s="23"/>
      <c r="K11" s="24"/>
    </row>
    <row r="12" spans="2:19" x14ac:dyDescent="0.35">
      <c r="D12" s="23"/>
      <c r="E12" s="23"/>
      <c r="F12" s="23"/>
      <c r="G12" s="23"/>
      <c r="H12" s="23"/>
      <c r="I12" s="23"/>
      <c r="J12" s="23"/>
      <c r="K12" s="24"/>
    </row>
    <row r="13" spans="2:19" x14ac:dyDescent="0.35">
      <c r="C13" s="14" t="s">
        <v>58</v>
      </c>
      <c r="D13" s="23"/>
      <c r="E13" s="23"/>
      <c r="F13" s="23"/>
      <c r="G13" s="23"/>
      <c r="H13" s="23"/>
      <c r="I13" s="23"/>
      <c r="J13" s="23"/>
      <c r="K13" s="24"/>
    </row>
    <row r="14" spans="2:19" x14ac:dyDescent="0.35">
      <c r="C14" s="14">
        <v>996.2</v>
      </c>
      <c r="D14" s="23"/>
      <c r="E14" s="23"/>
      <c r="F14" s="23"/>
      <c r="G14" s="23"/>
      <c r="H14" s="23"/>
      <c r="I14" s="23"/>
      <c r="J14" s="23"/>
      <c r="K14" s="24"/>
    </row>
    <row r="15" spans="2:19" x14ac:dyDescent="0.35">
      <c r="D15" s="23"/>
      <c r="E15" s="23"/>
      <c r="F15" s="23"/>
      <c r="G15" s="23"/>
      <c r="H15" s="23"/>
      <c r="I15" s="23"/>
      <c r="J15" s="23"/>
      <c r="K15" s="24"/>
    </row>
    <row r="16" spans="2:19" x14ac:dyDescent="0.35">
      <c r="C16" s="14" t="s">
        <v>59</v>
      </c>
      <c r="D16" s="23"/>
      <c r="E16" s="23"/>
      <c r="F16" s="23"/>
      <c r="G16" s="23"/>
      <c r="H16" s="23"/>
      <c r="I16" s="23"/>
      <c r="J16" s="23"/>
      <c r="K16" s="24"/>
    </row>
    <row r="17" spans="3:11" x14ac:dyDescent="0.35">
      <c r="C17" s="14">
        <f>+C11*C14</f>
        <v>8.5116347107718102</v>
      </c>
      <c r="D17" s="23"/>
      <c r="E17" s="23"/>
      <c r="F17" s="23"/>
      <c r="G17" s="23"/>
      <c r="H17" s="23"/>
      <c r="I17" s="23"/>
      <c r="J17" s="23"/>
      <c r="K17" s="24"/>
    </row>
    <row r="18" spans="3:11" x14ac:dyDescent="0.35">
      <c r="D18" s="23"/>
      <c r="E18" s="23"/>
      <c r="F18" s="23"/>
      <c r="G18" s="23"/>
      <c r="H18" s="23"/>
      <c r="I18" s="23"/>
      <c r="J18" s="23"/>
      <c r="K18" s="24"/>
    </row>
    <row r="19" spans="3:11" x14ac:dyDescent="0.35">
      <c r="C19" s="14" t="s">
        <v>60</v>
      </c>
      <c r="D19" s="23"/>
      <c r="E19" s="23"/>
      <c r="F19" s="23"/>
      <c r="G19" s="23"/>
      <c r="H19" s="23"/>
      <c r="I19" s="23"/>
      <c r="J19" s="23"/>
      <c r="K19" s="24"/>
    </row>
    <row r="20" spans="3:11" x14ac:dyDescent="0.35">
      <c r="C20" s="14">
        <f>0.0533/2</f>
        <v>2.665E-2</v>
      </c>
      <c r="D20" s="23"/>
      <c r="E20" s="23"/>
      <c r="F20" s="23"/>
      <c r="G20" s="23"/>
      <c r="H20" s="23"/>
      <c r="I20" s="23"/>
      <c r="J20" s="23"/>
      <c r="K20" s="24"/>
    </row>
    <row r="21" spans="3:11" x14ac:dyDescent="0.35">
      <c r="D21" s="23"/>
      <c r="E21" s="23"/>
      <c r="F21" s="23"/>
      <c r="G21" s="23"/>
      <c r="H21" s="23"/>
      <c r="I21" s="23"/>
      <c r="J21" s="23"/>
      <c r="K21" s="24"/>
    </row>
    <row r="22" spans="3:11" x14ac:dyDescent="0.35">
      <c r="D22" s="23"/>
      <c r="E22" s="23"/>
      <c r="F22" s="23"/>
      <c r="G22" s="23"/>
      <c r="H22" s="23"/>
      <c r="I22" s="23"/>
      <c r="J22" s="23"/>
      <c r="K22" s="24"/>
    </row>
  </sheetData>
  <mergeCells count="1">
    <mergeCell ref="D1:J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BY10"/>
  <sheetViews>
    <sheetView workbookViewId="0">
      <selection activeCell="AY10" sqref="AY10"/>
    </sheetView>
  </sheetViews>
  <sheetFormatPr defaultRowHeight="14.5" x14ac:dyDescent="0.35"/>
  <cols>
    <col min="1" max="1" width="23.7265625" customWidth="1"/>
    <col min="2" max="2" width="20.26953125" bestFit="1" customWidth="1"/>
    <col min="8" max="8" width="0.81640625" customWidth="1"/>
    <col min="9" max="9" width="7.6328125" bestFit="1" customWidth="1"/>
    <col min="10" max="10" width="6.54296875" bestFit="1" customWidth="1"/>
    <col min="11" max="11" width="12.08984375" bestFit="1" customWidth="1"/>
    <col min="12" max="12" width="12" bestFit="1" customWidth="1"/>
    <col min="13" max="13" width="1.1796875" customWidth="1"/>
    <col min="14" max="14" width="7.6328125" bestFit="1" customWidth="1"/>
    <col min="15" max="15" width="6.54296875" bestFit="1" customWidth="1"/>
    <col min="16" max="16" width="13.1796875" bestFit="1" customWidth="1"/>
    <col min="17" max="17" width="12" bestFit="1" customWidth="1"/>
    <col min="18" max="18" width="12.81640625" bestFit="1" customWidth="1"/>
    <col min="19" max="19" width="13.54296875" bestFit="1" customWidth="1"/>
    <col min="20" max="20" width="11.1796875" customWidth="1"/>
    <col min="21" max="22" width="12" bestFit="1" customWidth="1"/>
    <col min="23" max="23" width="12.81640625" bestFit="1" customWidth="1"/>
    <col min="24" max="25" width="12.81640625" customWidth="1"/>
    <col min="26" max="26" width="13.1796875" bestFit="1" customWidth="1"/>
    <col min="27" max="27" width="10.81640625" bestFit="1" customWidth="1"/>
    <col min="28" max="29" width="12" bestFit="1" customWidth="1"/>
    <col min="30" max="30" width="11.1796875" bestFit="1" customWidth="1"/>
    <col min="31" max="31" width="12" bestFit="1" customWidth="1"/>
    <col min="32" max="32" width="14.54296875" bestFit="1" customWidth="1"/>
    <col min="33" max="33" width="13.54296875" bestFit="1" customWidth="1"/>
    <col min="34" max="34" width="11.1796875" bestFit="1" customWidth="1"/>
    <col min="35" max="35" width="13.1796875" bestFit="1" customWidth="1"/>
    <col min="36" max="36" width="10.81640625" bestFit="1" customWidth="1"/>
    <col min="37" max="38" width="12" bestFit="1" customWidth="1"/>
    <col min="39" max="39" width="12.08984375" bestFit="1" customWidth="1"/>
    <col min="40" max="44" width="12" bestFit="1" customWidth="1"/>
    <col min="45" max="45" width="7" bestFit="1" customWidth="1"/>
    <col min="46" max="46" width="11.81640625" bestFit="1" customWidth="1"/>
    <col min="47" max="47" width="11.81640625" customWidth="1"/>
    <col min="48" max="49" width="12" bestFit="1" customWidth="1"/>
    <col min="50" max="50" width="12" customWidth="1"/>
    <col min="51" max="51" width="12" bestFit="1" customWidth="1"/>
    <col min="52" max="52" width="15.6328125" bestFit="1" customWidth="1"/>
    <col min="53" max="71" width="8.81640625" customWidth="1"/>
    <col min="72" max="90" width="8.453125" customWidth="1"/>
  </cols>
  <sheetData>
    <row r="1" spans="1:77" x14ac:dyDescent="0.35">
      <c r="A1" s="49" t="s">
        <v>0</v>
      </c>
      <c r="B1" s="53" t="s">
        <v>67</v>
      </c>
      <c r="C1" s="50" t="s">
        <v>1</v>
      </c>
      <c r="D1" s="50"/>
      <c r="E1" s="50"/>
      <c r="F1" s="50"/>
      <c r="G1" s="50"/>
      <c r="I1" s="50" t="s">
        <v>41</v>
      </c>
      <c r="J1" s="50"/>
      <c r="K1" s="50"/>
      <c r="L1" s="50"/>
      <c r="N1" s="51" t="s">
        <v>11</v>
      </c>
      <c r="O1" s="51"/>
      <c r="P1" s="51"/>
      <c r="Q1" s="51"/>
      <c r="R1" s="52" t="s">
        <v>15</v>
      </c>
      <c r="S1" s="52"/>
      <c r="T1" s="52"/>
      <c r="U1" s="52"/>
      <c r="V1" s="52"/>
      <c r="W1" s="47" t="s">
        <v>21</v>
      </c>
      <c r="X1" s="47"/>
      <c r="Y1" s="47"/>
      <c r="Z1" s="47"/>
      <c r="AA1" s="47"/>
      <c r="AB1" s="47"/>
      <c r="AC1" s="47"/>
      <c r="AD1" s="48" t="s">
        <v>26</v>
      </c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17"/>
      <c r="AV1" s="12"/>
      <c r="AX1" s="1" t="s">
        <v>47</v>
      </c>
      <c r="AY1" s="7">
        <v>2E-3</v>
      </c>
      <c r="AZ1" s="12"/>
      <c r="BA1" s="12"/>
      <c r="BB1" s="12"/>
      <c r="BC1" s="12"/>
      <c r="BD1" s="12"/>
      <c r="BE1" s="12"/>
      <c r="BF1" s="12"/>
      <c r="BG1" s="12"/>
    </row>
    <row r="2" spans="1:77" x14ac:dyDescent="0.35">
      <c r="A2" s="49"/>
      <c r="B2" s="54"/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I2" s="6" t="s">
        <v>7</v>
      </c>
      <c r="J2" s="6" t="s">
        <v>8</v>
      </c>
      <c r="K2" s="1" t="s">
        <v>9</v>
      </c>
      <c r="L2" s="1" t="s">
        <v>10</v>
      </c>
      <c r="N2" s="6" t="s">
        <v>12</v>
      </c>
      <c r="O2" s="6" t="s">
        <v>13</v>
      </c>
      <c r="P2" s="1" t="s">
        <v>14</v>
      </c>
      <c r="Q2" s="1" t="s">
        <v>10</v>
      </c>
      <c r="R2" s="1" t="s">
        <v>16</v>
      </c>
      <c r="S2" s="11" t="s">
        <v>17</v>
      </c>
      <c r="T2" s="11" t="s">
        <v>18</v>
      </c>
      <c r="U2" s="1" t="s">
        <v>19</v>
      </c>
      <c r="V2" s="1" t="s">
        <v>20</v>
      </c>
      <c r="W2" s="1" t="s">
        <v>16</v>
      </c>
      <c r="X2" s="6" t="s">
        <v>78</v>
      </c>
      <c r="Y2" s="6" t="s">
        <v>79</v>
      </c>
      <c r="Z2" s="6" t="s">
        <v>22</v>
      </c>
      <c r="AA2" s="6" t="s">
        <v>23</v>
      </c>
      <c r="AB2" s="1" t="s">
        <v>24</v>
      </c>
      <c r="AC2" s="1" t="s">
        <v>25</v>
      </c>
      <c r="AD2" s="1" t="s">
        <v>27</v>
      </c>
      <c r="AE2" s="1" t="s">
        <v>28</v>
      </c>
      <c r="AF2" s="1" t="s">
        <v>29</v>
      </c>
      <c r="AG2" s="6" t="s">
        <v>17</v>
      </c>
      <c r="AH2" s="6" t="s">
        <v>18</v>
      </c>
      <c r="AI2" s="6" t="s">
        <v>22</v>
      </c>
      <c r="AJ2" s="6" t="s">
        <v>23</v>
      </c>
      <c r="AK2" s="1" t="s">
        <v>30</v>
      </c>
      <c r="AL2" s="1" t="s">
        <v>31</v>
      </c>
      <c r="AM2" s="1" t="s">
        <v>32</v>
      </c>
      <c r="AN2" s="8" t="s">
        <v>33</v>
      </c>
      <c r="AO2" s="8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66</v>
      </c>
      <c r="AV2" s="1" t="s">
        <v>44</v>
      </c>
      <c r="AW2" s="1" t="s">
        <v>45</v>
      </c>
      <c r="AX2" s="1" t="s">
        <v>48</v>
      </c>
      <c r="AY2" s="1" t="s">
        <v>46</v>
      </c>
      <c r="AZ2" s="15" t="s">
        <v>77</v>
      </c>
      <c r="BA2" s="14"/>
      <c r="BB2" s="14"/>
      <c r="BC2" s="13"/>
      <c r="BD2" s="13"/>
      <c r="BE2" s="13"/>
      <c r="BF2" s="13"/>
      <c r="BG2" s="13"/>
      <c r="BH2" s="13"/>
      <c r="BI2" s="13"/>
      <c r="BJ2" s="13"/>
      <c r="BK2" s="13"/>
      <c r="BL2" s="13"/>
      <c r="BO2" s="13"/>
      <c r="BP2" s="13"/>
      <c r="BQ2" s="13"/>
      <c r="BR2" s="13"/>
      <c r="BT2" s="13"/>
      <c r="BU2" s="13"/>
      <c r="BV2" s="13"/>
      <c r="BW2" s="13"/>
      <c r="BX2" s="13"/>
      <c r="BY2" s="13"/>
    </row>
    <row r="3" spans="1:77" x14ac:dyDescent="0.35">
      <c r="A3" s="5" t="s">
        <v>70</v>
      </c>
      <c r="B3" s="21" t="s">
        <v>76</v>
      </c>
      <c r="C3" s="7">
        <v>1</v>
      </c>
      <c r="D3" s="18">
        <f>+F3/E3</f>
        <v>0.31034482758620691</v>
      </c>
      <c r="E3" s="31">
        <f>+F3+G3</f>
        <v>2.9</v>
      </c>
      <c r="F3" s="32">
        <v>0.9</v>
      </c>
      <c r="G3" s="18">
        <v>2</v>
      </c>
      <c r="I3" s="19">
        <v>1.16812503066667</v>
      </c>
      <c r="J3" s="19">
        <v>28.521526194000099</v>
      </c>
      <c r="K3" s="7">
        <f>+F3*3600*(PI()/4*0.0533^2)</f>
        <v>7.2291845144619327</v>
      </c>
      <c r="L3" s="7">
        <f>+G3*3600*(PI()/4*0.0533^2)</f>
        <v>16.064854476582074</v>
      </c>
      <c r="N3" s="19">
        <v>8.1008306213333299</v>
      </c>
      <c r="O3" s="19">
        <v>24.956075421333299</v>
      </c>
      <c r="P3" s="7">
        <f>+K3*((I3+1)/(N3+1))*((O3+273)/(J3+273))</f>
        <v>1.7018705530426457</v>
      </c>
      <c r="Q3" s="7">
        <f>+L3</f>
        <v>16.064854476582074</v>
      </c>
      <c r="R3" s="7">
        <f t="shared" ref="R3:R10" si="0">+IF(P3&lt;17,0.5,2)</f>
        <v>0.5</v>
      </c>
      <c r="S3" s="27">
        <v>10.66</v>
      </c>
      <c r="T3" s="22">
        <v>1.857E-5</v>
      </c>
      <c r="U3" s="7">
        <f t="shared" ref="U3:U10" si="1">+P3*S3</f>
        <v>18.141940095434602</v>
      </c>
      <c r="V3" s="7">
        <f t="shared" ref="V3:V10" si="2">+(P3/3600)/(PI()/4*(R3*25.4/1000)^2)</f>
        <v>3.7318716600088835</v>
      </c>
      <c r="W3" s="7">
        <f t="shared" ref="W3:W10" si="3">+IF(Q3&lt;10,1,2)</f>
        <v>2</v>
      </c>
      <c r="X3" s="7">
        <v>3.0349103453333299</v>
      </c>
      <c r="Y3" s="7">
        <v>28.501093207333302</v>
      </c>
      <c r="Z3" s="22">
        <v>996.2</v>
      </c>
      <c r="AA3" s="22">
        <v>8.2830000000000002E-4</v>
      </c>
      <c r="AB3" s="7">
        <f t="shared" ref="AB3:AB9" si="4">+Q3*Z3</f>
        <v>16003.808029571062</v>
      </c>
      <c r="AC3" s="7">
        <f t="shared" ref="AC3:AC9" si="5">+(Q3/3600)/(PI()/4*(W3*25.4/1000)^2)</f>
        <v>2.2016941533883068</v>
      </c>
      <c r="AD3" s="7">
        <v>5.33E-2</v>
      </c>
      <c r="AE3" s="7">
        <f>+U3+AB3</f>
        <v>16021.949969666497</v>
      </c>
      <c r="AF3" s="7">
        <f>+AE3/(PI()/4*AD3^2)</f>
        <v>7180770.9151525497</v>
      </c>
      <c r="AG3" s="22">
        <v>2.5049999999999999</v>
      </c>
      <c r="AH3" s="22">
        <v>1.863E-5</v>
      </c>
      <c r="AI3" s="22">
        <v>996.2</v>
      </c>
      <c r="AJ3" s="22">
        <v>8.2989999999999995E-4</v>
      </c>
      <c r="AK3" s="7">
        <f>+U3/AG3</f>
        <v>7.2422914552633149</v>
      </c>
      <c r="AL3" s="7">
        <f>+AB3/AI3</f>
        <v>16.064854476582074</v>
      </c>
      <c r="AM3" s="7">
        <f>+AK3+AL3</f>
        <v>23.30714593184539</v>
      </c>
      <c r="AN3" s="10">
        <f>+(AK3/3600)/(PI()/4*AD3^2)</f>
        <v>0.90163175344295687</v>
      </c>
      <c r="AO3" s="10">
        <f>+(AL3/3600)/(PI()/4*AD3^2)</f>
        <v>2</v>
      </c>
      <c r="AP3" s="7">
        <f>+AN3+AO3</f>
        <v>2.901631753442957</v>
      </c>
      <c r="AQ3" s="7">
        <f>+U3/(U3+AB3)</f>
        <v>1.1323178595477935E-3</v>
      </c>
      <c r="AR3" s="7">
        <f>+AK3/AM3</f>
        <v>0.31073266012240103</v>
      </c>
      <c r="AS3" s="7">
        <f>4*(PI()/4*AD3^2)/(PI()*AD3)</f>
        <v>5.3299999999999993E-2</v>
      </c>
      <c r="AT3" s="7">
        <v>7.4999999999999997E-2</v>
      </c>
      <c r="AU3" s="7">
        <f>+AS3/(AT3/(9.81*(AI3-AG3)))^0.5</f>
        <v>19.215762984132063</v>
      </c>
      <c r="AV3" s="7">
        <f>+AG3*((AK3/3600)/(PI()/4*AD3^2))*AD3/AH3</f>
        <v>6461.7668281570886</v>
      </c>
      <c r="AW3" s="7">
        <f>+AI3*((AL3/3600)/(PI()/4*AD3^2))*AD3/AJ3</f>
        <v>127961.10374743947</v>
      </c>
      <c r="AX3" s="7">
        <f>+(AQ3^2+(1-AQ3)^2*(AG3/AI3))/((AQ3^2/AV3)+((1-AQ3)^2/AW3)*(AG3/AI3))</f>
        <v>126743.83303603147</v>
      </c>
      <c r="AY3" s="7">
        <f>+(-2*LOG10((((AY$1/1000)/AD3)/3.7065)-(5.0452/AX3*LOG10((((AY$1/1000)/AD3)^1.1098)+(5.8506/AX3^0.8981)))))^(-1/0.5)</f>
        <v>1.7367486211399899E-2</v>
      </c>
      <c r="AZ3" s="43">
        <v>0.25790316591324702</v>
      </c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O3" s="14"/>
      <c r="BP3" s="14"/>
      <c r="BQ3" s="14"/>
      <c r="BR3" s="14"/>
      <c r="BT3" s="14"/>
      <c r="BU3" s="14"/>
      <c r="BV3" s="14"/>
      <c r="BW3" s="14"/>
      <c r="BX3" s="14"/>
      <c r="BY3" s="14"/>
    </row>
    <row r="4" spans="1:77" x14ac:dyDescent="0.35">
      <c r="A4" s="5" t="s">
        <v>71</v>
      </c>
      <c r="B4" s="21" t="s">
        <v>76</v>
      </c>
      <c r="C4" s="7">
        <v>2</v>
      </c>
      <c r="D4" s="18">
        <f>+F4/E4</f>
        <v>6.9767441860465115E-2</v>
      </c>
      <c r="E4" s="31">
        <f t="shared" ref="E4:E10" si="6">+F4+G4</f>
        <v>2.15</v>
      </c>
      <c r="F4" s="32">
        <v>0.15</v>
      </c>
      <c r="G4" s="18">
        <v>2</v>
      </c>
      <c r="I4" s="19">
        <v>0.335694095808383</v>
      </c>
      <c r="J4" s="19">
        <v>28.464077015968002</v>
      </c>
      <c r="K4" s="7">
        <f t="shared" ref="K4:L10" si="7">+F4*3600*(PI()/4*0.0533^2)</f>
        <v>1.2048640857436554</v>
      </c>
      <c r="L4" s="7">
        <f t="shared" si="7"/>
        <v>16.064854476582074</v>
      </c>
      <c r="N4" s="19">
        <v>8.13701325948103</v>
      </c>
      <c r="O4" s="19">
        <v>25.4669471390552</v>
      </c>
      <c r="P4" s="7">
        <f t="shared" ref="P4:P10" si="8">+K4*((I4+1)/(N4+1))*((O4+273)/(J4+273))</f>
        <v>0.17438193222224144</v>
      </c>
      <c r="Q4" s="7">
        <f t="shared" ref="Q4:Q10" si="9">+L4</f>
        <v>16.064854476582074</v>
      </c>
      <c r="R4" s="7">
        <f t="shared" si="0"/>
        <v>0.5</v>
      </c>
      <c r="S4" s="27">
        <v>10.69</v>
      </c>
      <c r="T4" s="22">
        <v>1.859E-5</v>
      </c>
      <c r="U4" s="7">
        <f t="shared" si="1"/>
        <v>1.8641428554557609</v>
      </c>
      <c r="V4" s="7">
        <f t="shared" si="2"/>
        <v>0.3823857165366123</v>
      </c>
      <c r="W4" s="7">
        <f t="shared" si="3"/>
        <v>2</v>
      </c>
      <c r="X4" s="7">
        <v>2.1553384051896201</v>
      </c>
      <c r="Y4" s="7">
        <v>28.442088012641399</v>
      </c>
      <c r="Z4" s="22">
        <v>996.2</v>
      </c>
      <c r="AA4" s="22">
        <v>8.2490000000000005E-4</v>
      </c>
      <c r="AB4" s="7">
        <f t="shared" si="4"/>
        <v>16003.808029571062</v>
      </c>
      <c r="AC4" s="7">
        <f t="shared" si="5"/>
        <v>2.2016941533883068</v>
      </c>
      <c r="AD4" s="7">
        <v>5.33E-2</v>
      </c>
      <c r="AE4" s="7">
        <f t="shared" ref="AE4:AE9" si="10">+U4+AB4</f>
        <v>16005.672172426519</v>
      </c>
      <c r="AF4" s="7">
        <f t="shared" ref="AF4:AF8" si="11">+AE4/(PI()/4*AD4^2)</f>
        <v>7173475.4777554236</v>
      </c>
      <c r="AG4" s="22">
        <v>1.5429999999999999</v>
      </c>
      <c r="AH4" s="22">
        <v>1.8620000000000001E-5</v>
      </c>
      <c r="AI4" s="22">
        <v>996.2</v>
      </c>
      <c r="AJ4" s="22">
        <v>8.2870000000000003E-4</v>
      </c>
      <c r="AK4" s="7">
        <f t="shared" ref="AK4:AK8" si="12">+U4/AG4</f>
        <v>1.2081288758624504</v>
      </c>
      <c r="AL4" s="7">
        <f t="shared" ref="AL4:AL8" si="13">+AB4/AI4</f>
        <v>16.064854476582074</v>
      </c>
      <c r="AM4" s="7">
        <f t="shared" ref="AM4:AM8" si="14">+AK4+AL4</f>
        <v>17.272983352444523</v>
      </c>
      <c r="AN4" s="10">
        <f t="shared" ref="AN4:AN8" si="15">+(AK4/3600)/(PI()/4*AD4^2)</f>
        <v>0.15040645125339344</v>
      </c>
      <c r="AO4" s="10">
        <f t="shared" ref="AO4:AO8" si="16">+(AL4/3600)/(PI()/4*AD4^2)</f>
        <v>2</v>
      </c>
      <c r="AP4" s="7">
        <f t="shared" ref="AP4:AP8" si="17">+AN4+AO4</f>
        <v>2.1504064512533936</v>
      </c>
      <c r="AQ4" s="7">
        <f t="shared" ref="AQ4:AQ8" si="18">+U4/(U4+AB4)</f>
        <v>1.1646763943267431E-4</v>
      </c>
      <c r="AR4" s="7">
        <f t="shared" ref="AR4:AR8" si="19">+AK4/AM4</f>
        <v>6.9943266383769923E-2</v>
      </c>
      <c r="AS4" s="7">
        <f t="shared" ref="AS4:AS8" si="20">4*(PI()/4*AD4^2)/(PI()*AD4)</f>
        <v>5.3299999999999993E-2</v>
      </c>
      <c r="AT4" s="7">
        <v>7.4999999999999997E-2</v>
      </c>
      <c r="AU4" s="7">
        <f t="shared" ref="AU4:AU8" si="21">+AS4/(AT4/(9.81*(AI4-AG4)))^0.5</f>
        <v>19.225062161529774</v>
      </c>
      <c r="AV4" s="7">
        <f t="shared" ref="AV4:AV8" si="22">+AG4*((AK4/3600)/(PI()/4*AD4^2))*AD4/AH4</f>
        <v>664.32397010399882</v>
      </c>
      <c r="AW4" s="7">
        <f t="shared" ref="AW4:AW8" si="23">+AI4*((AL4/3600)/(PI()/4*AD4^2))*AD4/AJ4</f>
        <v>128146.39797272837</v>
      </c>
      <c r="AX4" s="7">
        <f t="shared" ref="AX4:AX8" si="24">+(AQ4^2+(1-AQ4)^2*(AG4/AI4))/((AQ4^2/AV4)+((1-AQ4)^2/AW4)*(AG4/AI4))</f>
        <v>127931.35032157312</v>
      </c>
      <c r="AY4" s="7">
        <f>+(-2*LOG10((((AY$1/1000)/AD4)/3.7065)-(5.0452/AX4*LOG10((((AY$1/1000)/AD4)^1.1098)+(5.8506/AX4^0.8981)))))^(-1/0.5)</f>
        <v>1.7336108086970281E-2</v>
      </c>
      <c r="AZ4" s="44">
        <v>6.3782488503546203E-2</v>
      </c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O4" s="14"/>
      <c r="BP4" s="14"/>
      <c r="BQ4" s="14"/>
      <c r="BR4" s="14"/>
      <c r="BT4" s="14"/>
      <c r="BU4" s="14"/>
      <c r="BV4" s="14"/>
      <c r="BW4" s="14"/>
      <c r="BX4" s="14"/>
      <c r="BY4" s="14"/>
    </row>
    <row r="5" spans="1:77" x14ac:dyDescent="0.35">
      <c r="A5" s="5" t="s">
        <v>72</v>
      </c>
      <c r="B5" s="21" t="s">
        <v>76</v>
      </c>
      <c r="C5" s="7">
        <v>3</v>
      </c>
      <c r="D5" s="18">
        <f t="shared" ref="D5:D10" si="25">+F5/E5</f>
        <v>0.55555555555555558</v>
      </c>
      <c r="E5" s="31">
        <f t="shared" si="6"/>
        <v>4.5</v>
      </c>
      <c r="F5" s="18">
        <v>2.5</v>
      </c>
      <c r="G5" s="18">
        <v>2</v>
      </c>
      <c r="I5" s="19">
        <v>2.3401194303405601</v>
      </c>
      <c r="J5" s="19">
        <v>28.687848260061902</v>
      </c>
      <c r="K5" s="7">
        <f t="shared" si="7"/>
        <v>20.081068095727591</v>
      </c>
      <c r="L5" s="7">
        <f t="shared" si="7"/>
        <v>16.064854476582074</v>
      </c>
      <c r="N5" s="19">
        <v>8.1534435572755495</v>
      </c>
      <c r="O5" s="19">
        <v>25.532073525283799</v>
      </c>
      <c r="P5" s="7">
        <f t="shared" si="8"/>
        <v>7.2509928482842625</v>
      </c>
      <c r="Q5" s="7">
        <f t="shared" si="9"/>
        <v>16.064854476582074</v>
      </c>
      <c r="R5" s="7">
        <f t="shared" si="0"/>
        <v>0.5</v>
      </c>
      <c r="S5" s="27">
        <v>10.7</v>
      </c>
      <c r="T5" s="22">
        <v>1.8600000000000001E-5</v>
      </c>
      <c r="U5" s="7">
        <f t="shared" si="1"/>
        <v>77.585623476641601</v>
      </c>
      <c r="V5" s="7">
        <f t="shared" si="2"/>
        <v>15.90001934580806</v>
      </c>
      <c r="W5" s="7">
        <f t="shared" si="3"/>
        <v>2</v>
      </c>
      <c r="X5" s="7">
        <v>4.4918681496388002</v>
      </c>
      <c r="Y5" s="7">
        <v>28.680470593395199</v>
      </c>
      <c r="Z5" s="22">
        <v>996.2</v>
      </c>
      <c r="AA5" s="22">
        <v>8.206E-4</v>
      </c>
      <c r="AB5" s="7">
        <f t="shared" si="4"/>
        <v>16003.808029571062</v>
      </c>
      <c r="AC5" s="7">
        <f t="shared" si="5"/>
        <v>2.2016941533883068</v>
      </c>
      <c r="AD5" s="7">
        <v>5.33E-2</v>
      </c>
      <c r="AE5" s="7">
        <f t="shared" si="10"/>
        <v>16081.393653047704</v>
      </c>
      <c r="AF5" s="7">
        <f t="shared" si="11"/>
        <v>7207412.5832092743</v>
      </c>
      <c r="AG5" s="27">
        <v>3.8580000000000001</v>
      </c>
      <c r="AH5" s="22">
        <v>1.8660000000000001E-5</v>
      </c>
      <c r="AI5" s="22">
        <v>996.2</v>
      </c>
      <c r="AJ5" s="22">
        <v>8.206E-4</v>
      </c>
      <c r="AK5" s="7">
        <f t="shared" si="12"/>
        <v>20.110322311208293</v>
      </c>
      <c r="AL5" s="7">
        <f t="shared" si="13"/>
        <v>16.064854476582074</v>
      </c>
      <c r="AM5" s="7">
        <f t="shared" si="14"/>
        <v>36.175176787790363</v>
      </c>
      <c r="AN5" s="10">
        <f t="shared" si="15"/>
        <v>2.5036420143765814</v>
      </c>
      <c r="AO5" s="10">
        <f t="shared" si="16"/>
        <v>2</v>
      </c>
      <c r="AP5" s="7">
        <f t="shared" si="17"/>
        <v>4.503642014376581</v>
      </c>
      <c r="AQ5" s="7">
        <f t="shared" si="18"/>
        <v>4.8245584400539668E-3</v>
      </c>
      <c r="AR5" s="7">
        <f t="shared" si="19"/>
        <v>0.5559149697920982</v>
      </c>
      <c r="AS5" s="7">
        <f t="shared" si="20"/>
        <v>5.3299999999999993E-2</v>
      </c>
      <c r="AT5" s="7">
        <v>7.4999999999999997E-2</v>
      </c>
      <c r="AU5" s="7">
        <f t="shared" si="21"/>
        <v>19.202676582729396</v>
      </c>
      <c r="AV5" s="7">
        <f t="shared" si="22"/>
        <v>27589.893489553942</v>
      </c>
      <c r="AW5" s="7">
        <f t="shared" si="23"/>
        <v>129411.30879844018</v>
      </c>
      <c r="AX5" s="7">
        <f t="shared" si="24"/>
        <v>126593.10973953431</v>
      </c>
      <c r="AY5" s="7">
        <f t="shared" ref="AY5:AY9" si="26">+(-2*LOG10((((AY$1/1000)/AD5)/3.7065)-(5.0452/AX5*LOG10((((AY$1/1000)/AD5)^1.1098)+(5.8506/AX5^0.8981)))))^(-1/0.5)</f>
        <v>1.7371496798634801E-2</v>
      </c>
      <c r="AZ5" s="44">
        <v>0.52650906847091405</v>
      </c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O5" s="14"/>
      <c r="BP5" s="14"/>
      <c r="BQ5" s="14"/>
      <c r="BR5" s="14"/>
      <c r="BT5" s="14"/>
      <c r="BU5" s="14"/>
      <c r="BV5" s="14"/>
      <c r="BW5" s="14"/>
      <c r="BX5" s="14"/>
      <c r="BY5" s="14"/>
    </row>
    <row r="6" spans="1:77" x14ac:dyDescent="0.35">
      <c r="A6" s="5" t="s">
        <v>94</v>
      </c>
      <c r="B6" s="21" t="s">
        <v>68</v>
      </c>
      <c r="C6" s="7">
        <v>4</v>
      </c>
      <c r="D6" s="18">
        <f t="shared" si="25"/>
        <v>0.64516129032258063</v>
      </c>
      <c r="E6" s="31">
        <f t="shared" si="6"/>
        <v>0.92999999999999994</v>
      </c>
      <c r="F6" s="18">
        <v>0.6</v>
      </c>
      <c r="G6" s="18">
        <v>0.33</v>
      </c>
      <c r="I6" s="19">
        <v>0.63513707753479098</v>
      </c>
      <c r="J6" s="19">
        <v>28.933287091451199</v>
      </c>
      <c r="K6" s="7">
        <f t="shared" si="7"/>
        <v>4.8194563429746218</v>
      </c>
      <c r="L6" s="7">
        <f t="shared" si="7"/>
        <v>2.650700988636042</v>
      </c>
      <c r="N6" s="19">
        <v>8.0462312524850894</v>
      </c>
      <c r="O6" s="19">
        <v>30.0555643074884</v>
      </c>
      <c r="P6" s="7">
        <f t="shared" si="8"/>
        <v>0.87437110800381068</v>
      </c>
      <c r="Q6" s="7">
        <f t="shared" si="9"/>
        <v>2.650700988636042</v>
      </c>
      <c r="R6" s="7">
        <f t="shared" si="0"/>
        <v>0.5</v>
      </c>
      <c r="S6" s="27">
        <v>10.58</v>
      </c>
      <c r="T6" s="22">
        <v>1.859E-5</v>
      </c>
      <c r="U6" s="7">
        <f t="shared" si="1"/>
        <v>9.2508463226803173</v>
      </c>
      <c r="V6" s="7">
        <f t="shared" si="2"/>
        <v>1.9173260577640547</v>
      </c>
      <c r="W6" s="7">
        <f t="shared" si="3"/>
        <v>1</v>
      </c>
      <c r="X6" s="7">
        <v>1.5526677282968799</v>
      </c>
      <c r="Y6" s="7">
        <v>28.906654569251099</v>
      </c>
      <c r="Z6" s="22">
        <v>996</v>
      </c>
      <c r="AA6" s="22">
        <v>8.1660000000000001E-4</v>
      </c>
      <c r="AB6" s="7">
        <f t="shared" si="4"/>
        <v>2640.098184681498</v>
      </c>
      <c r="AC6" s="7">
        <f t="shared" si="5"/>
        <v>1.4531181412362826</v>
      </c>
      <c r="AD6" s="7">
        <v>5.33E-2</v>
      </c>
      <c r="AE6" s="7">
        <f t="shared" si="10"/>
        <v>2649.3490310041784</v>
      </c>
      <c r="AF6" s="7">
        <f t="shared" si="11"/>
        <v>1187394.0751244521</v>
      </c>
      <c r="AG6" s="22">
        <v>1.8859999999999999</v>
      </c>
      <c r="AH6" s="22">
        <v>1.8649999999999999E-5</v>
      </c>
      <c r="AI6" s="22">
        <v>996.9</v>
      </c>
      <c r="AJ6" s="22">
        <v>8.7219999999999995E-4</v>
      </c>
      <c r="AK6" s="7">
        <f t="shared" si="12"/>
        <v>4.905008654655524</v>
      </c>
      <c r="AL6" s="7">
        <f t="shared" si="13"/>
        <v>2.6483079392933071</v>
      </c>
      <c r="AM6" s="7">
        <f t="shared" si="14"/>
        <v>7.5533165939488311</v>
      </c>
      <c r="AN6" s="10">
        <f t="shared" si="15"/>
        <v>0.61065086668610824</v>
      </c>
      <c r="AO6" s="10">
        <f t="shared" si="16"/>
        <v>0.32970207643695454</v>
      </c>
      <c r="AP6" s="7">
        <f t="shared" si="17"/>
        <v>0.94035294312306283</v>
      </c>
      <c r="AQ6" s="7">
        <f t="shared" si="18"/>
        <v>3.4917431468718127E-3</v>
      </c>
      <c r="AR6" s="7">
        <f>+AK6/AM6</f>
        <v>0.64938475617254821</v>
      </c>
      <c r="AS6" s="7">
        <f t="shared" si="20"/>
        <v>5.3299999999999993E-2</v>
      </c>
      <c r="AT6" s="7">
        <v>7.4999999999999997E-2</v>
      </c>
      <c r="AU6" s="7">
        <f t="shared" si="21"/>
        <v>19.228511959529474</v>
      </c>
      <c r="AV6" s="7">
        <f t="shared" si="22"/>
        <v>3291.4179942402689</v>
      </c>
      <c r="AW6" s="7">
        <f t="shared" si="23"/>
        <v>20085.581288695252</v>
      </c>
      <c r="AX6" s="7">
        <f t="shared" si="24"/>
        <v>19445.810112621752</v>
      </c>
      <c r="AY6" s="7">
        <f t="shared" si="26"/>
        <v>2.6146250272634706E-2</v>
      </c>
      <c r="AZ6" s="44">
        <v>0.41608035722514702</v>
      </c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O6" s="14"/>
      <c r="BP6" s="14"/>
      <c r="BQ6" s="14"/>
      <c r="BR6" s="14"/>
      <c r="BT6" s="14"/>
      <c r="BU6" s="14"/>
      <c r="BV6" s="14"/>
      <c r="BW6" s="14"/>
      <c r="BX6" s="14"/>
      <c r="BY6" s="14"/>
    </row>
    <row r="7" spans="1:77" x14ac:dyDescent="0.35">
      <c r="A7" s="5" t="s">
        <v>73</v>
      </c>
      <c r="B7" s="21" t="s">
        <v>68</v>
      </c>
      <c r="C7" s="7">
        <v>5</v>
      </c>
      <c r="D7" s="18">
        <f t="shared" si="25"/>
        <v>0.49242424242424243</v>
      </c>
      <c r="E7" s="31">
        <f t="shared" si="6"/>
        <v>1.32</v>
      </c>
      <c r="F7" s="18">
        <v>0.65</v>
      </c>
      <c r="G7" s="18">
        <v>0.67</v>
      </c>
      <c r="I7" s="19">
        <v>0.70159015540983705</v>
      </c>
      <c r="J7" s="19">
        <v>28.7741247495082</v>
      </c>
      <c r="K7" s="7">
        <f t="shared" si="7"/>
        <v>5.2210777048891739</v>
      </c>
      <c r="L7" s="7">
        <f t="shared" si="7"/>
        <v>5.381726249654994</v>
      </c>
      <c r="N7" s="19">
        <v>7.9558044222950901</v>
      </c>
      <c r="O7" s="19">
        <v>30.5727138255738</v>
      </c>
      <c r="P7" s="7">
        <f t="shared" si="8"/>
        <v>0.99790972348519247</v>
      </c>
      <c r="Q7" s="7">
        <f t="shared" si="9"/>
        <v>5.381726249654994</v>
      </c>
      <c r="R7" s="7">
        <f t="shared" si="0"/>
        <v>0.5</v>
      </c>
      <c r="S7" s="27">
        <v>10.29</v>
      </c>
      <c r="T7" s="22">
        <v>1.8830000000000001E-5</v>
      </c>
      <c r="U7" s="7">
        <f t="shared" si="1"/>
        <v>10.268491054662629</v>
      </c>
      <c r="V7" s="7">
        <f t="shared" si="2"/>
        <v>2.1882222532516975</v>
      </c>
      <c r="W7" s="7">
        <f t="shared" si="3"/>
        <v>1</v>
      </c>
      <c r="X7" s="7">
        <v>1.8045268609836</v>
      </c>
      <c r="Y7" s="7">
        <v>28.751152306885299</v>
      </c>
      <c r="Z7" s="22">
        <v>996.1</v>
      </c>
      <c r="AA7" s="22">
        <v>8.1939999999999997E-4</v>
      </c>
      <c r="AB7" s="7">
        <f t="shared" si="4"/>
        <v>5360.7375172813399</v>
      </c>
      <c r="AC7" s="7">
        <f t="shared" si="5"/>
        <v>2.9502701655403309</v>
      </c>
      <c r="AD7" s="7">
        <v>5.33E-2</v>
      </c>
      <c r="AE7" s="7">
        <f t="shared" si="10"/>
        <v>5371.0060083360022</v>
      </c>
      <c r="AF7" s="7">
        <f t="shared" si="11"/>
        <v>2407195.3665307546</v>
      </c>
      <c r="AG7" s="22">
        <v>1.964</v>
      </c>
      <c r="AH7" s="22">
        <v>1.8640000000000001E-5</v>
      </c>
      <c r="AI7" s="22">
        <v>996.2</v>
      </c>
      <c r="AJ7" s="22">
        <v>8.3140000000000004E-4</v>
      </c>
      <c r="AK7" s="7">
        <f t="shared" si="12"/>
        <v>5.2283559341459416</v>
      </c>
      <c r="AL7" s="7">
        <f t="shared" si="13"/>
        <v>5.3811860241731981</v>
      </c>
      <c r="AM7" s="7">
        <f t="shared" si="14"/>
        <v>10.60954195831914</v>
      </c>
      <c r="AN7" s="10">
        <f t="shared" si="15"/>
        <v>0.65090610584333364</v>
      </c>
      <c r="AO7" s="10">
        <f t="shared" si="16"/>
        <v>0.66993274442882955</v>
      </c>
      <c r="AP7" s="7">
        <f t="shared" si="17"/>
        <v>1.3208388502721631</v>
      </c>
      <c r="AQ7" s="7">
        <f t="shared" si="18"/>
        <v>1.9118375661329641E-3</v>
      </c>
      <c r="AR7" s="7">
        <f t="shared" si="19"/>
        <v>0.49279751705456898</v>
      </c>
      <c r="AS7" s="7">
        <f t="shared" si="20"/>
        <v>5.3299999999999993E-2</v>
      </c>
      <c r="AT7" s="7">
        <v>7.4999999999999997E-2</v>
      </c>
      <c r="AU7" s="7">
        <f t="shared" si="21"/>
        <v>19.220993116726095</v>
      </c>
      <c r="AV7" s="7">
        <f t="shared" si="22"/>
        <v>3655.4523737664795</v>
      </c>
      <c r="AW7" s="7">
        <f t="shared" si="23"/>
        <v>42785.334496030795</v>
      </c>
      <c r="AX7" s="7">
        <f t="shared" si="24"/>
        <v>41951.129510636798</v>
      </c>
      <c r="AY7" s="7">
        <f t="shared" si="26"/>
        <v>2.1866194401301515E-2</v>
      </c>
      <c r="AZ7" s="44">
        <v>0.35742712493888101</v>
      </c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O7" s="14"/>
      <c r="BP7" s="14"/>
      <c r="BQ7" s="14"/>
      <c r="BR7" s="14"/>
      <c r="BT7" s="14"/>
      <c r="BU7" s="14"/>
      <c r="BV7" s="14"/>
      <c r="BW7" s="14"/>
      <c r="BX7" s="14"/>
      <c r="BY7" s="14"/>
    </row>
    <row r="8" spans="1:77" x14ac:dyDescent="0.35">
      <c r="A8" s="5" t="s">
        <v>74</v>
      </c>
      <c r="B8" s="21" t="s">
        <v>68</v>
      </c>
      <c r="C8" s="7">
        <v>6</v>
      </c>
      <c r="D8" s="18">
        <f t="shared" si="25"/>
        <v>0.66326530612244905</v>
      </c>
      <c r="E8" s="31">
        <f t="shared" si="6"/>
        <v>1.96</v>
      </c>
      <c r="F8" s="18">
        <v>1.3</v>
      </c>
      <c r="G8" s="18">
        <v>0.66</v>
      </c>
      <c r="I8" s="20">
        <v>0.66001557971981395</v>
      </c>
      <c r="J8" s="20">
        <v>29.429466557038001</v>
      </c>
      <c r="K8" s="7">
        <f t="shared" si="7"/>
        <v>10.442155409778348</v>
      </c>
      <c r="L8" s="7">
        <f t="shared" si="7"/>
        <v>5.301401977272084</v>
      </c>
      <c r="N8" s="20">
        <v>8.0101021894596407</v>
      </c>
      <c r="O8" s="20">
        <v>31.657708631087399</v>
      </c>
      <c r="P8" s="7">
        <f t="shared" si="8"/>
        <v>1.9380307691844518</v>
      </c>
      <c r="Q8" s="7">
        <f t="shared" si="9"/>
        <v>5.301401977272084</v>
      </c>
      <c r="R8" s="7">
        <f t="shared" si="0"/>
        <v>0.5</v>
      </c>
      <c r="S8" s="27">
        <v>10.32</v>
      </c>
      <c r="T8" s="22">
        <v>1.889E-5</v>
      </c>
      <c r="U8" s="7">
        <f t="shared" si="1"/>
        <v>20.000477537983542</v>
      </c>
      <c r="V8" s="7">
        <f t="shared" si="2"/>
        <v>4.2497251573066261</v>
      </c>
      <c r="W8" s="7">
        <f t="shared" si="3"/>
        <v>1</v>
      </c>
      <c r="X8" s="7">
        <v>1.5892511734489601</v>
      </c>
      <c r="Y8" s="7">
        <v>29.446236660440299</v>
      </c>
      <c r="Z8" s="22">
        <v>995.9</v>
      </c>
      <c r="AA8" s="22">
        <v>8.072E-4</v>
      </c>
      <c r="AB8" s="7">
        <f t="shared" si="4"/>
        <v>5279.6662291652683</v>
      </c>
      <c r="AC8" s="7">
        <f t="shared" si="5"/>
        <v>2.9062362824725652</v>
      </c>
      <c r="AD8" s="7">
        <v>5.33E-2</v>
      </c>
      <c r="AE8" s="7">
        <f t="shared" si="10"/>
        <v>5299.6667067032522</v>
      </c>
      <c r="AF8" s="30">
        <f t="shared" si="11"/>
        <v>2375222.2806553398</v>
      </c>
      <c r="AG8" s="26">
        <v>1.9119999999999999</v>
      </c>
      <c r="AH8" s="26">
        <v>1.8669999999999999E-5</v>
      </c>
      <c r="AI8" s="26">
        <v>996</v>
      </c>
      <c r="AJ8" s="22">
        <v>8.1780000000000004E-4</v>
      </c>
      <c r="AK8" s="7">
        <f t="shared" si="12"/>
        <v>10.460500804384699</v>
      </c>
      <c r="AL8" s="7">
        <f t="shared" si="13"/>
        <v>5.3008697079972578</v>
      </c>
      <c r="AM8" s="7">
        <f t="shared" si="14"/>
        <v>15.761370512381957</v>
      </c>
      <c r="AN8" s="10">
        <f t="shared" si="15"/>
        <v>1.3022839166869633</v>
      </c>
      <c r="AO8" s="10">
        <f t="shared" si="16"/>
        <v>0.65993373493975904</v>
      </c>
      <c r="AP8" s="7">
        <f t="shared" si="17"/>
        <v>1.9622176516267222</v>
      </c>
      <c r="AQ8" s="7">
        <f t="shared" si="18"/>
        <v>3.7739123316351303E-3</v>
      </c>
      <c r="AR8" s="7">
        <f t="shared" si="19"/>
        <v>0.66367964614289388</v>
      </c>
      <c r="AS8" s="7">
        <f t="shared" si="20"/>
        <v>5.3299999999999993E-2</v>
      </c>
      <c r="AT8" s="7">
        <v>7.4999999999999997E-2</v>
      </c>
      <c r="AU8" s="7">
        <f t="shared" si="21"/>
        <v>19.219562464017123</v>
      </c>
      <c r="AV8" s="7">
        <f t="shared" si="22"/>
        <v>7108.4752563471748</v>
      </c>
      <c r="AW8" s="7">
        <f t="shared" si="23"/>
        <v>42839.044020542919</v>
      </c>
      <c r="AX8" s="7">
        <f t="shared" si="24"/>
        <v>41298.744839897648</v>
      </c>
      <c r="AY8" s="7">
        <f t="shared" si="26"/>
        <v>2.194263967220101E-2</v>
      </c>
      <c r="AZ8" s="45">
        <v>0.52721014560685597</v>
      </c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O8" s="14"/>
      <c r="BP8" s="14"/>
      <c r="BQ8" s="14"/>
      <c r="BR8" s="14"/>
      <c r="BT8" s="14"/>
      <c r="BU8" s="14"/>
      <c r="BV8" s="14"/>
      <c r="BW8" s="14"/>
      <c r="BX8" s="14"/>
      <c r="BY8" s="14"/>
    </row>
    <row r="9" spans="1:77" x14ac:dyDescent="0.35">
      <c r="A9" s="5" t="s">
        <v>75</v>
      </c>
      <c r="B9" s="21" t="s">
        <v>68</v>
      </c>
      <c r="C9" s="7">
        <v>7</v>
      </c>
      <c r="D9" s="32">
        <f t="shared" si="25"/>
        <v>0.40476190476190477</v>
      </c>
      <c r="E9" s="33">
        <f t="shared" si="6"/>
        <v>0.84000000000000008</v>
      </c>
      <c r="F9" s="18">
        <v>0.34</v>
      </c>
      <c r="G9" s="32">
        <v>0.5</v>
      </c>
      <c r="I9" s="29">
        <v>0.73763851610824804</v>
      </c>
      <c r="J9" s="29">
        <v>27.573332835051598</v>
      </c>
      <c r="K9" s="25">
        <f t="shared" si="7"/>
        <v>2.7310252610189525</v>
      </c>
      <c r="L9" s="25">
        <f t="shared" si="7"/>
        <v>4.0162136191455184</v>
      </c>
      <c r="N9" s="29">
        <v>7.9350294265463699</v>
      </c>
      <c r="O9" s="29">
        <v>27.619237996778299</v>
      </c>
      <c r="P9" s="7">
        <f t="shared" si="8"/>
        <v>0.53119684544793189</v>
      </c>
      <c r="Q9" s="7">
        <f t="shared" si="9"/>
        <v>4.0162136191455184</v>
      </c>
      <c r="R9" s="7">
        <f t="shared" si="0"/>
        <v>0.5</v>
      </c>
      <c r="S9" s="27">
        <v>10.37</v>
      </c>
      <c r="T9" s="22">
        <v>1.8689999999999999E-5</v>
      </c>
      <c r="U9" s="7">
        <f t="shared" si="1"/>
        <v>5.508511287295053</v>
      </c>
      <c r="V9" s="7">
        <f t="shared" si="2"/>
        <v>1.1648115362646982</v>
      </c>
      <c r="W9" s="28">
        <f t="shared" si="3"/>
        <v>1</v>
      </c>
      <c r="X9" s="28">
        <v>1.89450808247423</v>
      </c>
      <c r="Y9" s="28">
        <v>27.530813590850499</v>
      </c>
      <c r="Z9" s="22">
        <v>996.5</v>
      </c>
      <c r="AA9" s="22">
        <v>8.4150000000000002E-4</v>
      </c>
      <c r="AB9" s="16">
        <f t="shared" si="4"/>
        <v>4002.1568714785089</v>
      </c>
      <c r="AC9" s="28">
        <f t="shared" si="5"/>
        <v>2.2016941533883068</v>
      </c>
      <c r="AD9" s="7">
        <v>5.33E-2</v>
      </c>
      <c r="AE9" s="16">
        <f t="shared" si="10"/>
        <v>4007.6653827658042</v>
      </c>
      <c r="AF9" s="30">
        <f t="shared" ref="AF9" si="27">+AE9/(PI()/4*AD9^2)</f>
        <v>1796168.8229405589</v>
      </c>
      <c r="AG9" s="26">
        <v>2.0139999999999998</v>
      </c>
      <c r="AH9" s="26">
        <v>1.8580000000000002E-5</v>
      </c>
      <c r="AI9" s="26">
        <v>996</v>
      </c>
      <c r="AJ9" s="22">
        <v>8.1780000000000004E-4</v>
      </c>
      <c r="AK9" s="7">
        <f t="shared" ref="AK9:AK10" si="28">+U9/AG9</f>
        <v>2.735109874525846</v>
      </c>
      <c r="AL9" s="7">
        <f t="shared" ref="AL9" si="29">+AB9/AI9</f>
        <v>4.0182297906410733</v>
      </c>
      <c r="AM9" s="7">
        <f t="shared" ref="AM9" si="30">+AK9+AL9</f>
        <v>6.7533396651669193</v>
      </c>
      <c r="AN9" s="10">
        <f t="shared" ref="AN9" si="31">+(AK9/3600)/(PI()/4*AD9^2)</f>
        <v>0.34050851546932437</v>
      </c>
      <c r="AO9" s="10">
        <f t="shared" ref="AO9" si="32">+(AL9/3600)/(PI()/4*AD9^2)</f>
        <v>0.50025100401606426</v>
      </c>
      <c r="AP9" s="7">
        <f t="shared" ref="AP9" si="33">+AN9+AO9</f>
        <v>0.84075951948538863</v>
      </c>
      <c r="AQ9" s="7">
        <f t="shared" ref="AQ9" si="34">+U9/(U9+AB9)</f>
        <v>1.3744938165205481E-3</v>
      </c>
      <c r="AR9" s="7">
        <f t="shared" ref="AR9" si="35">+AK9/AM9</f>
        <v>0.40500108244714556</v>
      </c>
      <c r="AS9" s="7">
        <f t="shared" ref="AS9" si="36">4*(PI()/4*AD9^2)/(PI()*AD9)</f>
        <v>5.3299999999999993E-2</v>
      </c>
      <c r="AT9" s="7">
        <v>7.4999999999999997E-2</v>
      </c>
      <c r="AU9" s="7">
        <f t="shared" ref="AU9" si="37">+AS9/(AT9/(9.81*(AI9-AG9)))^0.5</f>
        <v>19.21857641164485</v>
      </c>
      <c r="AV9" s="7">
        <f t="shared" ref="AV9" si="38">+AG9*((AK9/3600)/(PI()/4*AD9^2))*AD9/AH9</f>
        <v>1967.2925297778891</v>
      </c>
      <c r="AW9" s="7">
        <f t="shared" ref="AW9" si="39">+AI9*((AL9/3600)/(PI()/4*AD9^2))*AD9/AJ9</f>
        <v>32473.373685497674</v>
      </c>
      <c r="AX9" s="7">
        <f t="shared" ref="AX9" si="40">+(AQ9^2+(1-AQ9)^2*(AG9/AI9))/((AQ9^2/AV9)+((1-AQ9)^2/AW9)*(AG9/AI9))</f>
        <v>32008.793967384801</v>
      </c>
      <c r="AY9" s="7">
        <f t="shared" si="26"/>
        <v>2.3244338418425967E-2</v>
      </c>
      <c r="AZ9" s="44">
        <v>0.25817401873832702</v>
      </c>
    </row>
    <row r="10" spans="1:77" x14ac:dyDescent="0.35">
      <c r="A10" s="5" t="s">
        <v>93</v>
      </c>
      <c r="B10" s="21" t="s">
        <v>68</v>
      </c>
      <c r="C10" s="7">
        <v>8</v>
      </c>
      <c r="D10" s="32">
        <f t="shared" si="25"/>
        <v>0.6330275229357798</v>
      </c>
      <c r="E10" s="33">
        <f t="shared" si="6"/>
        <v>1.0899999999999999</v>
      </c>
      <c r="F10" s="18">
        <v>0.69</v>
      </c>
      <c r="G10" s="32">
        <v>0.4</v>
      </c>
      <c r="I10" s="29">
        <v>0.63532992200000105</v>
      </c>
      <c r="J10" s="29">
        <v>28.871963517333299</v>
      </c>
      <c r="K10" s="25">
        <f t="shared" si="7"/>
        <v>5.542374794420815</v>
      </c>
      <c r="L10" s="25">
        <f t="shared" si="7"/>
        <v>3.2129708953164147</v>
      </c>
      <c r="N10" s="29">
        <v>8.2433174166666792</v>
      </c>
      <c r="O10" s="29">
        <v>30.933320492</v>
      </c>
      <c r="P10" s="7">
        <f t="shared" si="8"/>
        <v>0.98725409154407173</v>
      </c>
      <c r="Q10" s="7">
        <f t="shared" si="9"/>
        <v>3.2129708953164147</v>
      </c>
      <c r="R10" s="7">
        <f t="shared" si="0"/>
        <v>0.5</v>
      </c>
      <c r="S10" s="27">
        <v>10.61</v>
      </c>
      <c r="T10" s="22">
        <v>1.8859999999999999E-5</v>
      </c>
      <c r="U10" s="7">
        <f t="shared" si="1"/>
        <v>10.474765911282601</v>
      </c>
      <c r="V10" s="7">
        <f t="shared" si="2"/>
        <v>2.1648565214752939</v>
      </c>
      <c r="W10" s="28">
        <f t="shared" si="3"/>
        <v>1</v>
      </c>
      <c r="X10" s="28">
        <v>1.560404516</v>
      </c>
      <c r="Y10" s="28">
        <v>28.873618605333299</v>
      </c>
      <c r="Z10" s="22">
        <v>996.1</v>
      </c>
      <c r="AA10" s="22">
        <v>8.1720000000000002E-4</v>
      </c>
      <c r="AB10" s="16">
        <f t="shared" ref="AB10" si="41">+Q10*Z10</f>
        <v>3200.4403088246809</v>
      </c>
      <c r="AC10" s="28">
        <f t="shared" ref="AC10" si="42">+(Q10/3600)/(PI()/4*(W10*25.4/1000)^2)</f>
        <v>1.7613553227106455</v>
      </c>
      <c r="AD10" s="7">
        <v>5.33E-2</v>
      </c>
      <c r="AE10" s="16">
        <f t="shared" ref="AE10" si="43">+U10+AB10</f>
        <v>3210.9150747359636</v>
      </c>
      <c r="AF10" s="30">
        <f t="shared" ref="AF10" si="44">+AE10/(PI()/4*AD10^2)</f>
        <v>1439078.6154832076</v>
      </c>
      <c r="AG10" s="26">
        <v>1.887</v>
      </c>
      <c r="AH10" s="26">
        <v>1.8640000000000001E-5</v>
      </c>
      <c r="AI10" s="26">
        <v>996</v>
      </c>
      <c r="AJ10" s="22">
        <v>8.1720000000000002E-4</v>
      </c>
      <c r="AK10" s="7">
        <f t="shared" si="28"/>
        <v>5.551015321294436</v>
      </c>
      <c r="AL10" s="7">
        <f t="shared" ref="AL10" si="45">+AB10/AI10</f>
        <v>3.2132934827557036</v>
      </c>
      <c r="AM10" s="7">
        <f t="shared" ref="AM10" si="46">+AK10+AL10</f>
        <v>8.76430880405014</v>
      </c>
      <c r="AN10" s="10">
        <f t="shared" ref="AN10" si="47">+(AK10/3600)/(PI()/4*AD10^2)</f>
        <v>0.69107570558901932</v>
      </c>
      <c r="AO10" s="10">
        <f t="shared" ref="AO10" si="48">+(AL10/3600)/(PI()/4*AD10^2)</f>
        <v>0.40004016064257031</v>
      </c>
      <c r="AP10" s="7">
        <f t="shared" ref="AP10" si="49">+AN10+AO10</f>
        <v>1.0911158662315896</v>
      </c>
      <c r="AQ10" s="7">
        <f t="shared" ref="AQ10" si="50">+U10/(U10+AB10)</f>
        <v>3.2622369846215726E-3</v>
      </c>
      <c r="AR10" s="7">
        <f t="shared" ref="AR10" si="51">+AK10/AM10</f>
        <v>0.63336601270019321</v>
      </c>
      <c r="AS10" s="7">
        <f t="shared" ref="AS10" si="52">4*(PI()/4*AD10^2)/(PI()*AD10)</f>
        <v>5.3299999999999993E-2</v>
      </c>
      <c r="AT10" s="7">
        <v>7.4999999999999997E-2</v>
      </c>
      <c r="AU10" s="7">
        <f t="shared" ref="AU10" si="53">+AS10/(AT10/(9.81*(AI10-AG10)))^0.5</f>
        <v>19.219804135801073</v>
      </c>
      <c r="AV10" s="7">
        <f t="shared" ref="AV10" si="54">+AG10*((AK10/3600)/(PI()/4*AD10^2))*AD10/AH10</f>
        <v>3728.8836023925614</v>
      </c>
      <c r="AW10" s="7">
        <f t="shared" ref="AW10" si="55">+AI10*((AL10/3600)/(PI()/4*AD10^2))*AD10/AJ10</f>
        <v>25987.33724914342</v>
      </c>
      <c r="AX10" s="7">
        <f t="shared" ref="AX10" si="56">+(AQ10^2+(1-AQ10)^2*(AG10/AI10))/((AQ10^2/AV10)+((1-AQ10)^2/AW10)*(AG10/AI10))</f>
        <v>25143.516469181479</v>
      </c>
      <c r="AY10" s="7">
        <f t="shared" ref="AY10" si="57">+(-2*LOG10((((AY$1/1000)/AD10)/3.7065)-(5.0452/AX10*LOG10((((AY$1/1000)/AD10)^1.1098)+(5.8506/AX10^0.8981)))))^(-1/0.5)</f>
        <v>2.4587077679474205E-2</v>
      </c>
      <c r="AZ10" s="44">
        <v>0.42515645916363798</v>
      </c>
    </row>
  </sheetData>
  <mergeCells count="8">
    <mergeCell ref="W1:AC1"/>
    <mergeCell ref="AD1:AT1"/>
    <mergeCell ref="A1:A2"/>
    <mergeCell ref="C1:G1"/>
    <mergeCell ref="I1:L1"/>
    <mergeCell ref="N1:Q1"/>
    <mergeCell ref="R1:V1"/>
    <mergeCell ref="B1:B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E74B-35B0-4F7C-A548-DAF655038CC3}">
  <sheetPr codeName="Planilha3"/>
  <dimension ref="B1:W35"/>
  <sheetViews>
    <sheetView tabSelected="1" topLeftCell="B1" zoomScaleNormal="100" workbookViewId="0">
      <selection activeCell="M28" sqref="M28"/>
    </sheetView>
  </sheetViews>
  <sheetFormatPr defaultRowHeight="14.5" x14ac:dyDescent="0.35"/>
  <cols>
    <col min="1" max="1" width="3" customWidth="1"/>
    <col min="2" max="2" width="16.6328125" bestFit="1" customWidth="1"/>
    <col min="3" max="3" width="20.26953125" bestFit="1" customWidth="1"/>
    <col min="4" max="4" width="12" bestFit="1" customWidth="1"/>
    <col min="5" max="6" width="12" customWidth="1"/>
    <col min="7" max="7" width="12" bestFit="1" customWidth="1"/>
    <col min="8" max="8" width="26.81640625" bestFit="1" customWidth="1"/>
    <col min="9" max="9" width="20.36328125" bestFit="1" customWidth="1"/>
    <col min="10" max="10" width="9.1796875" bestFit="1" customWidth="1"/>
    <col min="11" max="11" width="14.54296875" bestFit="1" customWidth="1"/>
    <col min="12" max="12" width="19.36328125" bestFit="1" customWidth="1"/>
    <col min="13" max="13" width="16.81640625" bestFit="1" customWidth="1"/>
    <col min="14" max="14" width="12" bestFit="1" customWidth="1"/>
    <col min="15" max="15" width="4.81640625" bestFit="1" customWidth="1"/>
    <col min="16" max="18" width="12" bestFit="1" customWidth="1"/>
    <col min="19" max="19" width="19.6328125" bestFit="1" customWidth="1"/>
    <col min="21" max="21" width="11.1796875" customWidth="1"/>
  </cols>
  <sheetData>
    <row r="1" spans="2:23" x14ac:dyDescent="0.35">
      <c r="B1" s="35" t="s">
        <v>80</v>
      </c>
      <c r="C1" s="34" t="s">
        <v>90</v>
      </c>
      <c r="D1" t="s">
        <v>63</v>
      </c>
      <c r="E1" s="55" t="s">
        <v>64</v>
      </c>
      <c r="F1" s="55"/>
      <c r="G1" s="55"/>
      <c r="H1" s="34" t="s">
        <v>65</v>
      </c>
      <c r="I1" s="34" t="s">
        <v>91</v>
      </c>
      <c r="J1" s="36" t="s">
        <v>92</v>
      </c>
      <c r="K1" s="35" t="s">
        <v>69</v>
      </c>
      <c r="L1" t="s">
        <v>62</v>
      </c>
      <c r="M1" s="35" t="s">
        <v>61</v>
      </c>
      <c r="N1" s="55" t="s">
        <v>86</v>
      </c>
      <c r="O1" s="55"/>
      <c r="P1" s="55"/>
      <c r="Q1" s="55"/>
      <c r="R1" s="55"/>
      <c r="S1" s="55"/>
    </row>
    <row r="2" spans="2:23" x14ac:dyDescent="0.35">
      <c r="B2" s="9" t="s">
        <v>87</v>
      </c>
      <c r="C2" s="9" t="s">
        <v>87</v>
      </c>
      <c r="D2" s="9" t="s">
        <v>40</v>
      </c>
      <c r="E2" s="37" t="s">
        <v>88</v>
      </c>
      <c r="F2" s="37" t="s">
        <v>89</v>
      </c>
      <c r="G2" s="9" t="s">
        <v>87</v>
      </c>
      <c r="H2" s="9" t="s">
        <v>87</v>
      </c>
      <c r="I2" s="9" t="s">
        <v>87</v>
      </c>
      <c r="J2" s="9" t="s">
        <v>87</v>
      </c>
      <c r="K2" s="9" t="s">
        <v>87</v>
      </c>
      <c r="L2" s="9" t="s">
        <v>42</v>
      </c>
      <c r="M2" s="9" t="s">
        <v>87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9" t="s">
        <v>87</v>
      </c>
      <c r="U2" s="39"/>
      <c r="V2" s="40"/>
      <c r="W2" s="40"/>
    </row>
    <row r="3" spans="2:23" x14ac:dyDescent="0.35">
      <c r="B3" s="28">
        <f>+'Base de Dados'!AN3/(1.2*'Base de Dados'!AP3+0.35*SQRT(9.81*'Base de Dados'!AD3))</f>
        <v>0.24139796086497167</v>
      </c>
      <c r="C3" s="38">
        <f>'Base de Dados'!AN3/(1.2*'Base de Dados'!AP3+0.35*SQRT(9.81*'Base de Dados'!AD3)*(1-('Base de Dados'!AG3/'Base de Dados'!AI3)))</f>
        <v>0.24143909850231277</v>
      </c>
      <c r="D3" s="28"/>
      <c r="E3" s="28">
        <f>(1.18/SQRT('Base de Dados'!AI3))*(9.81*'Base de Dados'!AT3*('Base de Dados'!AI3-'Base de Dados'!AG3))^0.25</f>
        <v>0.1944037250853092</v>
      </c>
      <c r="F3" s="28">
        <f>1+0.2*(1-'Base de Dados'!AQ3)</f>
        <v>1.1997735364280904</v>
      </c>
      <c r="G3" s="28">
        <f>('Base de Dados'!AQ3/'Base de Dados'!AG3)*(F3*(('Base de Dados'!AQ3/'Base de Dados'!AG3)+((1-'Base de Dados'!AQ3)/'Base de Dados'!AI3))+(E3/('Base de Dados'!AF3/3600)))^(-1)</f>
        <v>0.24529493614752654</v>
      </c>
      <c r="H3" s="38"/>
      <c r="I3" s="28">
        <f>'Base de Dados'!AN3/(1.2*'Base de Dados'!AP3+0.345*SQRT((9.81*'Base de Dados'!AD3*('Base de Dados'!AI3-'Base de Dados'!AG3))/'Base de Dados'!AI3))</f>
        <v>0.24165218429194882</v>
      </c>
      <c r="J3" s="28"/>
      <c r="K3" s="28">
        <f>'Base de Dados'!AN3/(1.08*'Base de Dados'!AP3+0.45)</f>
        <v>0.25158804617798841</v>
      </c>
      <c r="L3" s="28"/>
      <c r="M3" s="28">
        <f>+'Base de Dados'!AN3/(1.2*'Base de Dados'!AP3)</f>
        <v>0.2589438834353342</v>
      </c>
      <c r="N3" s="28">
        <f>('Base de Dados'!AB3/3600/(PI()/4*'Base de Dados'!AD3^2))^2*'Base de Dados'!AD3/('Base de Dados'!AI3*'Base de Dados'!AT3)</f>
        <v>2831.8645333333338</v>
      </c>
      <c r="O3" s="28">
        <f>(((1-'Base de Dados'!AQ3)/'Base de Dados'!AQ3)*('Base de Dados'!AG3/'Base de Dados'!AI3))^(-1)</f>
        <v>0.45081587672147838</v>
      </c>
      <c r="P3" s="28">
        <f>0.0273*N3*'Base de Dados'!AW3^(-0.51)*('Base de Dados'!AI3/'Base de Dados'!AG3)^(-0.08)</f>
        <v>0.11903159368497027</v>
      </c>
      <c r="Q3" s="28">
        <f>1.578*'Base de Dados'!AW3^(-0.19)*('Base de Dados'!AI3/'Base de Dados'!AG3)^(0.22)</f>
        <v>0.63046462085784871</v>
      </c>
      <c r="R3" s="28">
        <f>1+Q3*((O3/(1+O3*P3))-O3*P3)</f>
        <v>1.2359168306568997</v>
      </c>
      <c r="S3" s="28">
        <f>(1+R3*((1-'Base de Dados'!AQ3)/'Base de Dados'!AQ3)*('Base de Dados'!AG3/'Base de Dados'!AI3))^(-1)</f>
        <v>0.26727167544059999</v>
      </c>
      <c r="U3" s="39"/>
      <c r="V3" s="41"/>
      <c r="W3" s="41"/>
    </row>
    <row r="4" spans="2:23" x14ac:dyDescent="0.35">
      <c r="B4" s="28">
        <f>+'Base de Dados'!AN4/(1.2*'Base de Dados'!AP4+0.35*SQRT(9.81*'Base de Dados'!AD4))</f>
        <v>5.3080147506532525E-2</v>
      </c>
      <c r="C4" s="38">
        <f>'Base de Dados'!AN4/(1.2*'Base de Dados'!AP4+0.35*SQRT(9.81*'Base de Dados'!AD4)*(1-('Base de Dados'!AG4/'Base de Dados'!AI4)))</f>
        <v>5.3087491688076249E-2</v>
      </c>
      <c r="D4" s="28"/>
      <c r="E4" s="28">
        <f>(1.18/SQRT('Base de Dados'!AI4))*(9.81*'Base de Dados'!AT4*('Base de Dados'!AI4-'Base de Dados'!AG4))^0.25</f>
        <v>0.19445075876456058</v>
      </c>
      <c r="F4" s="28">
        <f>1+0.2*(1-'Base de Dados'!AQ4)</f>
        <v>1.1999767064721134</v>
      </c>
      <c r="G4" s="28">
        <f>('Base de Dados'!AQ4/'Base de Dados'!AG4)*(F4*(('Base de Dados'!AQ4/'Base de Dados'!AG4)+((1-'Base de Dados'!AQ4)/'Base de Dados'!AI4))+(E4/('Base de Dados'!AF4/3600)))^(-1)</f>
        <v>5.4202702612025887E-2</v>
      </c>
      <c r="H4" s="38"/>
      <c r="I4" s="28">
        <f>'Base de Dados'!AN4/(1.2*'Base de Dados'!AP4+0.345*SQRT((9.81*'Base de Dados'!AD4*('Base de Dados'!AI4-'Base de Dados'!AG4))/'Base de Dados'!AI4))</f>
        <v>5.3151591704802485E-2</v>
      </c>
      <c r="J4" s="28"/>
      <c r="K4" s="28">
        <f>'Base de Dados'!AN4/(1.08*'Base de Dados'!AP4+0.45)</f>
        <v>5.4250590553832335E-2</v>
      </c>
      <c r="L4" s="28"/>
      <c r="M4" s="28">
        <f>+'Base de Dados'!AN4/(1.2*'Base de Dados'!AP4)</f>
        <v>5.8286055319808266E-2</v>
      </c>
      <c r="N4" s="28">
        <f>('Base de Dados'!AB4/3600/(PI()/4*'Base de Dados'!AD4^2))^2*'Base de Dados'!AD4/('Base de Dados'!AI4*'Base de Dados'!AT4)</f>
        <v>2831.8645333333338</v>
      </c>
      <c r="O4" s="28">
        <f>(((1-'Base de Dados'!AQ4)/'Base de Dados'!AQ4)*('Base de Dados'!AG4/'Base de Dados'!AI4))^(-1)</f>
        <v>7.5203225626696707E-2</v>
      </c>
      <c r="P4" s="28">
        <f>0.0273*N4*'Base de Dados'!AW4^(-0.51)*('Base de Dados'!AI4/'Base de Dados'!AG4)^(-0.08)</f>
        <v>0.11442117594391125</v>
      </c>
      <c r="Q4" s="28">
        <f>1.578*'Base de Dados'!AW4^(-0.19)*('Base de Dados'!AI4/'Base de Dados'!AG4)^(0.22)</f>
        <v>0.70119452553623152</v>
      </c>
      <c r="R4" s="28">
        <f t="shared" ref="R4:R9" si="0">1+Q4*((O4/(1+O4*P4))-O4*P4)</f>
        <v>1.0462485422207648</v>
      </c>
      <c r="S4" s="28">
        <f>(1+R4*((1-'Base de Dados'!AQ4)/'Base de Dados'!AQ4)*('Base de Dados'!AG4/'Base de Dados'!AI4))^(-1)</f>
        <v>6.7058814104010364E-2</v>
      </c>
      <c r="U4" s="39"/>
      <c r="V4" s="41"/>
      <c r="W4" s="41"/>
    </row>
    <row r="5" spans="2:23" x14ac:dyDescent="0.35">
      <c r="B5" s="28">
        <f>+'Base de Dados'!AN5/(1.2*'Base de Dados'!AP5+0.35*SQRT(9.81*'Base de Dados'!AD5))</f>
        <v>0.44253854340118515</v>
      </c>
      <c r="C5" s="38">
        <f>'Base de Dados'!AN5/(1.2*'Base de Dados'!AP5+0.35*SQRT(9.81*'Base de Dados'!AD5)*(1-('Base de Dados'!AG5/'Base de Dados'!AI5)))</f>
        <v>0.44261522427575006</v>
      </c>
      <c r="D5" s="28"/>
      <c r="E5" s="28">
        <f>(1.18/SQRT('Base de Dados'!AI5))*(9.81*'Base de Dados'!AT5*('Base de Dados'!AI5-'Base de Dados'!AG5))^0.25</f>
        <v>0.19433751698133134</v>
      </c>
      <c r="F5" s="28">
        <f>1+0.2*(1-'Base de Dados'!AQ5)</f>
        <v>1.1990350883119891</v>
      </c>
      <c r="G5" s="28">
        <f>('Base de Dados'!AQ5/'Base de Dados'!AG5)*(F5*(('Base de Dados'!AQ5/'Base de Dados'!AG5)+((1-'Base de Dados'!AQ5)/'Base de Dados'!AI5))+(E5/('Base de Dados'!AF5/3600)))^(-1)</f>
        <v>0.4475294720513332</v>
      </c>
      <c r="H5" s="38">
        <f>+'Base de Dados'!AN5*(('Base de Dados'!AN5*(1+('Base de Dados'!AO5/'Base de Dados'!AN5)^(('Base de Dados'!AG5/'Base de Dados'!AI5)^0.1)))+(2.9*(9.81*'Base de Dados'!AD5*'Base de Dados'!AT5*(1+COS(90*PI()/180))*('Base de Dados'!AI5-'Base de Dados'!AG5)/'Base de Dados'!AI5^2)^0.25*(1.22+1.22*SIN(90*PI()/180))^(1/(1+'Base de Dados'!I5))))^(-1)</f>
        <v>0.50030216651971327</v>
      </c>
      <c r="I5" s="28">
        <f>'Base de Dados'!AN5/(1.2*'Base de Dados'!AP5+0.345*SQRT((9.81*'Base de Dados'!AD5*('Base de Dados'!AI5-'Base de Dados'!AG5))/'Base de Dados'!AI5))</f>
        <v>0.44285941086977271</v>
      </c>
      <c r="J5" s="28">
        <f>'Base de Dados'!AN5*('Base de Dados'!AN5*(1+('Base de Dados'!AO5/'Base de Dados'!AN5)^('Base de Dados'!AG5/'Base de Dados'!AI5)^0.1)+2.9*((9.81*'Base de Dados'!AT5*('Base de Dados'!AI5-'Base de Dados'!AG5))/'Base de Dados'!AI5^2)^0.25)^(-1)</f>
        <v>0.45647952197687436</v>
      </c>
      <c r="K5" s="28">
        <f>'Base de Dados'!AN5/(1.08*'Base de Dados'!AP5+0.45)</f>
        <v>0.47114666998029964</v>
      </c>
      <c r="L5" s="28"/>
      <c r="M5" s="28">
        <f>+'Base de Dados'!AN5/(1.2*'Base de Dados'!AP5)</f>
        <v>0.46326247482674854</v>
      </c>
      <c r="N5" s="28">
        <f>('Base de Dados'!AB5/3600/(PI()/4*'Base de Dados'!AD5^2))^2*'Base de Dados'!AD5/('Base de Dados'!AI5*'Base de Dados'!AT5)</f>
        <v>2831.8645333333338</v>
      </c>
      <c r="O5" s="28">
        <f>(((1-'Base de Dados'!AQ5)/'Base de Dados'!AQ5)*('Base de Dados'!AG5/'Base de Dados'!AI5))^(-1)</f>
        <v>1.2518210071882907</v>
      </c>
      <c r="P5" s="28">
        <f>0.0273*N5*'Base de Dados'!AW5^(-0.51)*('Base de Dados'!AI5/'Base de Dados'!AG5)^(-0.08)</f>
        <v>0.12250971773740849</v>
      </c>
      <c r="Q5" s="28">
        <f>1.578*'Base de Dados'!AW5^(-0.19)*('Base de Dados'!AI5/'Base de Dados'!AG5)^(0.22)</f>
        <v>0.572095885545987</v>
      </c>
      <c r="R5" s="28">
        <f t="shared" si="0"/>
        <v>1.5331981590251194</v>
      </c>
      <c r="S5" s="28">
        <f>(1+R5*((1-'Base de Dados'!AQ5)/'Base de Dados'!AQ5)*('Base de Dados'!AG5/'Base de Dados'!AI5))^(-1)</f>
        <v>0.449483803334216</v>
      </c>
      <c r="U5" s="39"/>
      <c r="V5" s="41"/>
      <c r="W5" s="41"/>
    </row>
    <row r="6" spans="2:23" x14ac:dyDescent="0.35">
      <c r="B6" s="28">
        <f>+'Base de Dados'!AN6/(1.2*'Base de Dados'!AP6+0.35*SQRT(9.81*'Base de Dados'!AD6))</f>
        <v>0.44201748878662378</v>
      </c>
      <c r="C6" s="38">
        <f>'Base de Dados'!AN6/(1.2*'Base de Dados'!AP6+0.35*SQRT(9.81*'Base de Dados'!AD6)*(1-('Base de Dados'!AG6/'Base de Dados'!AI6)))</f>
        <v>0.4421707360460258</v>
      </c>
      <c r="D6" s="28"/>
      <c r="E6" s="28">
        <f>(1.18/SQRT('Base de Dados'!AI6))*(9.81*'Base de Dados'!AT6*('Base de Dados'!AI6-'Base de Dados'!AG6))^0.25</f>
        <v>0.19439991685606026</v>
      </c>
      <c r="F6" s="28">
        <f>1+0.2*(1-'Base de Dados'!AQ6)</f>
        <v>1.1993016513706256</v>
      </c>
      <c r="G6" s="28">
        <f>('Base de Dados'!AQ6/'Base de Dados'!AG6)*(F6*(('Base de Dados'!AQ6/'Base de Dados'!AG6)+((1-'Base de Dados'!AQ6)/'Base de Dados'!AI6))+(E6/('Base de Dados'!AF6/3600)))^(-1)</f>
        <v>0.46185616500121185</v>
      </c>
      <c r="H6" s="38">
        <f>+'Base de Dados'!AN6*(('Base de Dados'!AN6*(1+('Base de Dados'!AO6/'Base de Dados'!AN6)^(('Base de Dados'!AG6/'Base de Dados'!AI6)^0.1)))+(2.9*(9.81*'Base de Dados'!AD6*'Base de Dados'!AT6*(1+COS(90*PI()/180))*('Base de Dados'!AI6-'Base de Dados'!AG6)/'Base de Dados'!AI6^2)^0.25*(1.22+1.22*SIN(90*PI()/180))^(1/(1+'Base de Dados'!I6))))^(-1)</f>
        <v>0.42227357578736013</v>
      </c>
      <c r="I6" s="28">
        <f>'Base de Dados'!AN6/(1.2*'Base de Dados'!AP6+0.345*SQRT((9.81*'Base de Dados'!AD6*('Base de Dados'!AI6-'Base de Dados'!AG6))/'Base de Dados'!AI6))</f>
        <v>0.44325326135322346</v>
      </c>
      <c r="J6" s="28">
        <f>'Base de Dados'!AN6*('Base de Dados'!AN6*(1+('Base de Dados'!AO6/'Base de Dados'!AN6)^('Base de Dados'!AG6/'Base de Dados'!AI6)^0.1)+2.9*((9.81*'Base de Dados'!AT6*('Base de Dados'!AI6-'Base de Dados'!AG6))/'Base de Dados'!AI6^2)^0.25)^(-1)</f>
        <v>0.35941928642780091</v>
      </c>
      <c r="K6" s="28">
        <f>'Base de Dados'!AN6/(1.08*'Base de Dados'!AP6+0.45)</f>
        <v>0.4166612369304048</v>
      </c>
      <c r="L6" s="28"/>
      <c r="M6" s="28"/>
      <c r="N6" s="28">
        <f>('Base de Dados'!AB6/3600/(PI()/4*'Base de Dados'!AD6^2))^2*'Base de Dados'!AD6/('Base de Dados'!AI6*'Base de Dados'!AT6)</f>
        <v>77.012444042130625</v>
      </c>
      <c r="O6" s="28">
        <f>(((1-'Base de Dados'!AQ6)/'Base de Dados'!AQ6)*('Base de Dados'!AG6/'Base de Dados'!AI6))^(-1)</f>
        <v>1.8521292716300999</v>
      </c>
      <c r="P6" s="28">
        <f>0.0273*N6*'Base de Dados'!AW6^(-0.51)*('Base de Dados'!AI6/'Base de Dados'!AG6)^(-0.08)</f>
        <v>8.1358646344383157E-3</v>
      </c>
      <c r="Q6" s="28">
        <f>1.578*'Base de Dados'!AW6^(-0.19)*('Base de Dados'!AI6/'Base de Dados'!AG6)^(0.22)</f>
        <v>0.9542081939414887</v>
      </c>
      <c r="R6" s="28">
        <f t="shared" si="0"/>
        <v>2.726702493437231</v>
      </c>
      <c r="S6" s="28">
        <f>(1+R6*((1-'Base de Dados'!AQ6)/'Base de Dados'!AQ6)*('Base de Dados'!AG6/'Base de Dados'!AI6))^(-1)</f>
        <v>0.40449821409912939</v>
      </c>
      <c r="U6" s="39"/>
      <c r="V6" s="41"/>
      <c r="W6" s="41"/>
    </row>
    <row r="7" spans="2:23" x14ac:dyDescent="0.35">
      <c r="B7" s="28">
        <f>+'Base de Dados'!AN7/(1.2*'Base de Dados'!AP7+0.35*SQRT(9.81*'Base de Dados'!AD7))</f>
        <v>0.35412062757019114</v>
      </c>
      <c r="C7" s="38">
        <f>'Base de Dados'!AN7/(1.2*'Base de Dados'!AP7+0.35*SQRT(9.81*'Base de Dados'!AD7)*(1-('Base de Dados'!AG7/'Base de Dados'!AI7)))</f>
        <v>0.35421678063019268</v>
      </c>
      <c r="D7" s="28"/>
      <c r="E7" s="28">
        <f>(1.18/SQRT('Base de Dados'!AI7))*(9.81*'Base de Dados'!AT7*('Base de Dados'!AI7-'Base de Dados'!AG7))^0.25</f>
        <v>0.19443017961860454</v>
      </c>
      <c r="F7" s="28">
        <f>1+0.2*(1-'Base de Dados'!AQ7)</f>
        <v>1.1996176324867733</v>
      </c>
      <c r="G7" s="28">
        <f>('Base de Dados'!AQ7/'Base de Dados'!AG7)*(F7*(('Base de Dados'!AQ7/'Base de Dados'!AG7)+((1-'Base de Dados'!AQ7)/'Base de Dados'!AI7))+(E7/('Base de Dados'!AF7/3600)))^(-1)</f>
        <v>0.36589717640992553</v>
      </c>
      <c r="H7" s="38">
        <f>+'Base de Dados'!AN7*(('Base de Dados'!AN7*(1+('Base de Dados'!AO7/'Base de Dados'!AN7)^(('Base de Dados'!AG7/'Base de Dados'!AI7)^0.1)))+(2.9*(9.81*'Base de Dados'!AD7*'Base de Dados'!AT7*(1+COS(90*PI()/180))*('Base de Dados'!AI7-'Base de Dados'!AG7)/'Base de Dados'!AI7^2)^0.25*(1.22+1.22*SIN(90*PI()/180))^(1/(1+'Base de Dados'!I7))))^(-1)</f>
        <v>0.38293889126964131</v>
      </c>
      <c r="I7" s="28">
        <f>'Base de Dados'!AN7/(1.2*'Base de Dados'!AP7+0.345*SQRT((9.81*'Base de Dados'!AD7*('Base de Dados'!AI7-'Base de Dados'!AG7))/'Base de Dados'!AI7))</f>
        <v>0.35486614388460103</v>
      </c>
      <c r="J7" s="28">
        <f>'Base de Dados'!AN7*('Base de Dados'!AN7*(1+('Base de Dados'!AO7/'Base de Dados'!AN7)^('Base de Dados'!AG7/'Base de Dados'!AI7)^0.1)+2.9*((9.81*'Base de Dados'!AT7*('Base de Dados'!AI7-'Base de Dados'!AG7))/'Base de Dados'!AI7^2)^0.25)^(-1)</f>
        <v>0.3657489309666882</v>
      </c>
      <c r="K7" s="28">
        <f>'Base de Dados'!AN7/(1.08*'Base de Dados'!AP7+0.45)</f>
        <v>0.3468713237847208</v>
      </c>
      <c r="L7" s="28"/>
      <c r="M7" s="28">
        <f>+'Base de Dados'!AN7/(1.2*'Base de Dados'!AP7)</f>
        <v>0.41066459754547424</v>
      </c>
      <c r="N7" s="28">
        <f>('Base de Dados'!AB7/3600/(PI()/4*'Base de Dados'!AD7^2))^2*'Base de Dados'!AD7/('Base de Dados'!AI7*'Base de Dados'!AT7)</f>
        <v>317.74219680235166</v>
      </c>
      <c r="O7" s="28">
        <f>(((1-'Base de Dados'!AQ7)/'Base de Dados'!AQ7)*('Base de Dados'!AG7/'Base de Dados'!AI7))^(-1)</f>
        <v>0.97159918104657295</v>
      </c>
      <c r="P7" s="28">
        <f>0.0273*N7*'Base de Dados'!AW7^(-0.51)*('Base de Dados'!AI7/'Base de Dados'!AG7)^(-0.08)</f>
        <v>2.2901330875031174E-2</v>
      </c>
      <c r="Q7" s="28">
        <f>1.578*'Base de Dados'!AW7^(-0.19)*('Base de Dados'!AI7/'Base de Dados'!AG7)^(0.22)</f>
        <v>0.81904181334271076</v>
      </c>
      <c r="R7" s="28">
        <f t="shared" si="0"/>
        <v>1.76023450286915</v>
      </c>
      <c r="S7" s="28">
        <f>(1+R7*((1-'Base de Dados'!AQ7)/'Base de Dados'!AQ7)*('Base de Dados'!AG7/'Base de Dados'!AI7))^(-1)</f>
        <v>0.35565824770632221</v>
      </c>
      <c r="U7" s="39"/>
      <c r="V7" s="41"/>
      <c r="W7" s="41"/>
    </row>
    <row r="8" spans="2:23" x14ac:dyDescent="0.35">
      <c r="B8" s="28">
        <f>+'Base de Dados'!AN8/(1.2*'Base de Dados'!AP8+0.35*SQRT(9.81*'Base de Dados'!AD8))</f>
        <v>0.49939062299242387</v>
      </c>
      <c r="C8" s="38">
        <f>'Base de Dados'!AN8/(1.2*'Base de Dados'!AP8+0.35*SQRT(9.81*'Base de Dados'!AD8)*(1-('Base de Dados'!AG8/'Base de Dados'!AI8)))</f>
        <v>0.49948368034897395</v>
      </c>
      <c r="D8" s="28"/>
      <c r="E8" s="28">
        <f>(1.18/SQRT('Base de Dados'!AI8))*(9.81*'Base de Dados'!AT8*('Base de Dados'!AI8-'Base de Dados'!AG8))^0.25</f>
        <v>0.19444246298791124</v>
      </c>
      <c r="F8" s="28">
        <f>1+0.2*(1-'Base de Dados'!AQ8)</f>
        <v>1.199245217533673</v>
      </c>
      <c r="G8" s="28">
        <f>('Base de Dados'!AQ8/'Base de Dados'!AG8)*(F8*(('Base de Dados'!AQ8/'Base de Dados'!AG8)+((1-'Base de Dados'!AQ8)/'Base de Dados'!AI8))+(E8/('Base de Dados'!AF8/3600)))^(-1)</f>
        <v>0.51117615222310731</v>
      </c>
      <c r="H8" s="38">
        <f>+'Base de Dados'!AN8*(('Base de Dados'!AN8*(1+('Base de Dados'!AO8/'Base de Dados'!AN8)^(('Base de Dados'!AG8/'Base de Dados'!AI8)^0.1)))+(2.9*(9.81*'Base de Dados'!AD8*'Base de Dados'!AT8*(1+COS(90*PI()/180))*('Base de Dados'!AI8-'Base de Dados'!AG8)/'Base de Dados'!AI8^2)^0.25*(1.22+1.22*SIN(90*PI()/180))^(1/(1+'Base de Dados'!I8))))^(-1)</f>
        <v>0.50077686658834475</v>
      </c>
      <c r="I8" s="28">
        <f>'Base de Dados'!AN8/(1.2*'Base de Dados'!AP8+0.345*SQRT((9.81*'Base de Dados'!AD8*('Base de Dados'!AI8-'Base de Dados'!AG8))/'Base de Dados'!AI8))</f>
        <v>0.50012997135462001</v>
      </c>
      <c r="J8" s="28"/>
      <c r="K8" s="28">
        <f>'Base de Dados'!AN8/(1.08*'Base de Dados'!AP8+0.45)</f>
        <v>0.50688401790040449</v>
      </c>
      <c r="L8" s="28"/>
      <c r="M8" s="28">
        <f>+'Base de Dados'!AN8/(1.2*'Base de Dados'!AP8)</f>
        <v>0.55306637178574503</v>
      </c>
      <c r="N8" s="28">
        <f>('Base de Dados'!AB8/3600/(PI()/4*'Base de Dados'!AD8^2))^2*'Base de Dados'!AD8/('Base de Dados'!AI8*'Base de Dados'!AT8)</f>
        <v>308.26622422809635</v>
      </c>
      <c r="O8" s="28">
        <f>(((1-'Base de Dados'!AQ8)/'Base de Dados'!AQ8)*('Base de Dados'!AG8/'Base de Dados'!AI8))^(-1)</f>
        <v>1.9733555775957417</v>
      </c>
      <c r="P8" s="28">
        <f>0.0273*N8*'Base de Dados'!AW8^(-0.51)*('Base de Dados'!AI8/'Base de Dados'!AG8)^(-0.08)</f>
        <v>2.2156879253817353E-2</v>
      </c>
      <c r="Q8" s="28">
        <f>1.578*'Base de Dados'!AW8^(-0.19)*('Base de Dados'!AI8/'Base de Dados'!AG8)^(0.22)</f>
        <v>0.82365845622333611</v>
      </c>
      <c r="R8" s="28">
        <f t="shared" si="0"/>
        <v>2.5212682212127664</v>
      </c>
      <c r="S8" s="28">
        <f>(1+R8*((1-'Base de Dados'!AQ8)/'Base de Dados'!AQ8)*('Base de Dados'!AG8/'Base de Dados'!AI8))^(-1)</f>
        <v>0.43904799732490712</v>
      </c>
      <c r="U8" s="39"/>
      <c r="V8" s="41"/>
      <c r="W8" s="41"/>
    </row>
    <row r="9" spans="2:23" x14ac:dyDescent="0.35">
      <c r="B9" s="28">
        <f>+'Base de Dados'!AN9/(1.2*'Base de Dados'!AP9+0.35*SQRT(9.81*'Base de Dados'!AD9))</f>
        <v>0.26981736952103125</v>
      </c>
      <c r="C9" s="38">
        <f>'Base de Dados'!AN9/(1.2*'Base de Dados'!AP9+0.35*SQRT(9.81*'Base de Dados'!AD9)*(1-('Base de Dados'!AG9/'Base de Dados'!AI9)))</f>
        <v>0.26992682922272104</v>
      </c>
      <c r="D9" s="7"/>
      <c r="E9" s="28">
        <f>(1.18/SQRT('Base de Dados'!AI9))*(9.81*'Base de Dados'!AT9*('Base de Dados'!AI9-'Base de Dados'!AG9))^0.25</f>
        <v>0.19443747502547748</v>
      </c>
      <c r="F9" s="28">
        <f>1+0.2*(1-'Base de Dados'!AQ9)</f>
        <v>1.1997251012366958</v>
      </c>
      <c r="G9" s="28">
        <f>('Base de Dados'!AQ9/'Base de Dados'!AG9)*(F9*(('Base de Dados'!AQ9/'Base de Dados'!AG9)+((1-'Base de Dados'!AQ9)/'Base de Dados'!AI9))+(E9/('Base de Dados'!AF9/3600)))^(-1)</f>
        <v>0.28302176448747102</v>
      </c>
      <c r="H9" s="38">
        <f>+'Base de Dados'!AN9*(('Base de Dados'!AN9*(1+('Base de Dados'!AO9/'Base de Dados'!AN9)^(('Base de Dados'!AG9/'Base de Dados'!AI9)^0.1)))+(2.9*(9.81*'Base de Dados'!AD9*'Base de Dados'!AT9*(1+COS(90*PI()/180))*('Base de Dados'!AI9-'Base de Dados'!AG9)/'Base de Dados'!AI9^2)^0.25*(1.22+1.22*SIN(90*PI()/180))^(1/(1+'Base de Dados'!I9))))^(-1)</f>
        <v>0.29793307297712662</v>
      </c>
      <c r="I9" s="28">
        <f>'Base de Dados'!AN9/(1.2*'Base de Dados'!AP9+0.345*SQRT((9.81*'Base de Dados'!AD9*('Base de Dados'!AI9-'Base de Dados'!AG9))/'Base de Dados'!AI9))</f>
        <v>0.2706468660243041</v>
      </c>
      <c r="J9" s="28">
        <f>'Base de Dados'!AN9*('Base de Dados'!AN9*(1+('Base de Dados'!AO9/'Base de Dados'!AN9)^('Base de Dados'!AG9/'Base de Dados'!AI9)^0.1)+2.9*((9.81*'Base de Dados'!AT9*('Base de Dados'!AI9-'Base de Dados'!AG9))/'Base de Dados'!AI9^2)^0.25)^(-1)</f>
        <v>0.2938208700556969</v>
      </c>
      <c r="K9" s="28">
        <f>'Base de Dados'!AN9/(1.08*'Base de Dados'!AP9+0.45)</f>
        <v>0.25073890296211032</v>
      </c>
      <c r="L9" s="7"/>
      <c r="M9" s="28"/>
      <c r="N9" s="28">
        <f>('Base de Dados'!AB9/3600/(PI()/4*'Base de Dados'!AD9^2))^2*'Base de Dados'!AD9/('Base de Dados'!AI9*'Base de Dados'!AT9)</f>
        <v>177.13371126171356</v>
      </c>
      <c r="O9" s="28">
        <f>(((1-'Base de Dados'!AQ9)/'Base de Dados'!AQ9)*('Base de Dados'!AG9/'Base de Dados'!AI9))^(-1)</f>
        <v>0.6806753264574954</v>
      </c>
      <c r="P9" s="28">
        <f>0.0273*N9*'Base de Dados'!AW9^(-0.51)*('Base de Dados'!AI9/'Base de Dados'!AG9)^(-0.08)</f>
        <v>1.4724782889656689E-2</v>
      </c>
      <c r="Q9" s="28">
        <f>1.578*'Base de Dados'!AW9^(-0.19)*('Base de Dados'!AI9/'Base de Dados'!AG9)^(0.22)</f>
        <v>0.858303261507538</v>
      </c>
      <c r="R9" s="28">
        <f t="shared" si="0"/>
        <v>1.5698257839730925</v>
      </c>
      <c r="S9" s="28">
        <f>(1+R9*((1-'Base de Dados'!AQ9)/'Base de Dados'!AQ9)*('Base de Dados'!AG9/'Base de Dados'!AI9))^(-1)</f>
        <v>0.30245500582190871</v>
      </c>
      <c r="U9" s="39"/>
      <c r="V9" s="41"/>
      <c r="W9" s="41"/>
    </row>
    <row r="10" spans="2:23" x14ac:dyDescent="0.35">
      <c r="B10" s="28">
        <f>+'Base de Dados'!AN10/(1.2*'Base de Dados'!AP10+0.35*SQRT(9.81*'Base de Dados'!AD10))</f>
        <v>0.44230999615022781</v>
      </c>
      <c r="C10" s="38">
        <f>'Base de Dados'!AN10/(1.2*'Base de Dados'!AP10+0.35*SQRT(9.81*'Base de Dados'!AD10)*(1-('Base de Dados'!AG10/'Base de Dados'!AI10)))</f>
        <v>0.4424457774299777</v>
      </c>
      <c r="D10" s="7"/>
      <c r="E10" s="28">
        <f>(1.18/SQRT('Base de Dados'!AI10))*(9.81*'Base de Dados'!AT10*('Base de Dados'!AI10-'Base de Dados'!AG10))^0.25</f>
        <v>0.1944436854691533</v>
      </c>
      <c r="F10" s="28">
        <f>1+0.2*(1-'Base de Dados'!AQ10)</f>
        <v>1.1993475526030757</v>
      </c>
      <c r="G10" s="28">
        <f>('Base de Dados'!AQ10/'Base de Dados'!AG10)*(F10*(('Base de Dados'!AQ10/'Base de Dados'!AG10)+((1-'Base de Dados'!AQ10)/'Base de Dados'!AI10))+(E10/('Base de Dados'!AF10/3600)))^(-1)</f>
        <v>0.45977587492551325</v>
      </c>
      <c r="H10" s="38">
        <f>+'Base de Dados'!AN10*(('Base de Dados'!AN10*(1+('Base de Dados'!AO10/'Base de Dados'!AN10)^(('Base de Dados'!AG10/'Base de Dados'!AI10)^0.1)))+(2.9*(9.81*'Base de Dados'!AD10*'Base de Dados'!AT10*(1+COS(90*PI()/180))*('Base de Dados'!AI10-'Base de Dados'!AG10)/'Base de Dados'!AI10^2)^0.25*(1.22+1.22*SIN(90*PI()/180))^(1/(1+'Base de Dados'!I10))))^(-1)</f>
        <v>0.43103843685004622</v>
      </c>
      <c r="I10" s="28">
        <f>'Base de Dados'!AN10/(1.2*'Base de Dados'!AP10+0.345*SQRT((9.81*'Base de Dados'!AD10*('Base de Dados'!AI10-'Base de Dados'!AG10))/'Base de Dados'!AI10))</f>
        <v>0.44340314230105188</v>
      </c>
      <c r="J10" s="28">
        <f>'Base de Dados'!AN10*('Base de Dados'!AN10*(1+('Base de Dados'!AO10/'Base de Dados'!AN10)^('Base de Dados'!AG10/'Base de Dados'!AI10)^0.1)+2.9*((9.81*'Base de Dados'!AT10*('Base de Dados'!AI10-'Base de Dados'!AG10))/'Base de Dados'!AI10^2)^0.25)^(-1)</f>
        <v>0.37155608389717443</v>
      </c>
      <c r="K10" s="28">
        <f>'Base de Dados'!AN10/(1.08*'Base de Dados'!AP10+0.45)</f>
        <v>0.42438806566649895</v>
      </c>
      <c r="L10" s="7"/>
      <c r="M10" s="28"/>
      <c r="N10" s="28">
        <f>('Base de Dados'!AB10/3600/(PI()/4*'Base de Dados'!AD10^2))^2*'Base de Dados'!AD10/('Base de Dados'!AI10*'Base de Dados'!AT10)</f>
        <v>113.27458247496655</v>
      </c>
      <c r="O10" s="28">
        <f>(((1-'Base de Dados'!AQ10)/'Base de Dados'!AQ10)*('Base de Dados'!AG10/'Base de Dados'!AI10))^(-1)</f>
        <v>1.7275158186092341</v>
      </c>
      <c r="P10" s="28">
        <f>0.0273*N10*'Base de Dados'!AW10^(-0.51)*('Base de Dados'!AI10/'Base de Dados'!AG10)^(-0.08)</f>
        <v>1.0494641631136E-2</v>
      </c>
      <c r="Q10" s="28">
        <f>1.578*'Base de Dados'!AW10^(-0.19)*('Base de Dados'!AI10/'Base de Dados'!AG10)^(0.22)</f>
        <v>0.90834221127918102</v>
      </c>
      <c r="R10" s="28">
        <f t="shared" ref="R10" si="1">1+Q10*((O10/(1+O10*P10))-O10*P10)</f>
        <v>2.5247655653013652</v>
      </c>
      <c r="S10" s="28">
        <f>(1+R10*((1-'Base de Dados'!AQ10)/'Base de Dados'!AQ10)*('Base de Dados'!AG10/'Base de Dados'!AI10))^(-1)</f>
        <v>0.40625623345285977</v>
      </c>
      <c r="U10" s="39"/>
      <c r="V10" s="41"/>
      <c r="W10" s="41"/>
    </row>
    <row r="11" spans="2:23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U11" s="39"/>
      <c r="V11" s="41"/>
      <c r="W11" s="41"/>
    </row>
    <row r="12" spans="2:23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U12" s="39"/>
      <c r="V12" s="41"/>
      <c r="W12" s="41"/>
    </row>
    <row r="13" spans="2:23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U13" s="39"/>
      <c r="V13" s="41"/>
      <c r="W13" s="41"/>
    </row>
    <row r="14" spans="2:23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23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2:23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2:19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2:19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2:19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2:19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2:19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2:19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5" spans="2:19" x14ac:dyDescent="0.35">
      <c r="C25">
        <v>0.1</v>
      </c>
      <c r="E25">
        <v>0</v>
      </c>
      <c r="F25">
        <v>0</v>
      </c>
    </row>
    <row r="26" spans="2:19" x14ac:dyDescent="0.35">
      <c r="E26">
        <v>1</v>
      </c>
      <c r="F26">
        <v>1</v>
      </c>
      <c r="K26" t="str">
        <f>B1</f>
        <v>Nicklin et al. (1962)</v>
      </c>
    </row>
    <row r="27" spans="2:19" x14ac:dyDescent="0.35">
      <c r="C27">
        <v>0</v>
      </c>
      <c r="D27">
        <v>0</v>
      </c>
      <c r="K27" s="16" t="str">
        <f>C1</f>
        <v>Bonnecaze et al. (1971)</v>
      </c>
    </row>
    <row r="28" spans="2:19" x14ac:dyDescent="0.35">
      <c r="C28">
        <v>1</v>
      </c>
      <c r="D28">
        <v>1</v>
      </c>
      <c r="K28" s="16" t="str">
        <f>E1</f>
        <v>Rouhani e Axelsson (1970)</v>
      </c>
    </row>
    <row r="29" spans="2:19" x14ac:dyDescent="0.35">
      <c r="K29" s="16" t="str">
        <f>H1</f>
        <v>Woldesemayat e Ghajar (2007)</v>
      </c>
    </row>
    <row r="30" spans="2:19" x14ac:dyDescent="0.35">
      <c r="C30">
        <f>C27*(1+C$25)</f>
        <v>0</v>
      </c>
      <c r="D30">
        <f>D27*(1+D$25)</f>
        <v>0</v>
      </c>
      <c r="K30" s="16" t="str">
        <f>I1</f>
        <v>Kokal e Stanislav (1989)</v>
      </c>
      <c r="N30" s="56"/>
    </row>
    <row r="31" spans="2:19" x14ac:dyDescent="0.35">
      <c r="C31">
        <f>C28</f>
        <v>1</v>
      </c>
      <c r="D31">
        <f>D28*(1-C$25)</f>
        <v>0.9</v>
      </c>
      <c r="K31" s="16" t="str">
        <f>J1</f>
        <v>Dix (1971)</v>
      </c>
      <c r="N31" s="57"/>
    </row>
    <row r="32" spans="2:19" x14ac:dyDescent="0.35">
      <c r="K32" s="16" t="str">
        <f>K1</f>
        <v>Toshiba (1989)</v>
      </c>
      <c r="N32" s="56"/>
    </row>
    <row r="33" spans="3:11" x14ac:dyDescent="0.35">
      <c r="C33">
        <f>C30*(1+C$25)</f>
        <v>0</v>
      </c>
      <c r="D33">
        <f>D30*(1+D$25)</f>
        <v>0</v>
      </c>
      <c r="K33" s="16" t="str">
        <f>M1</f>
        <v>Hughmark (1965)</v>
      </c>
    </row>
    <row r="34" spans="3:11" x14ac:dyDescent="0.35">
      <c r="C34">
        <f>C28</f>
        <v>1</v>
      </c>
      <c r="D34">
        <f>D28*(1+C$25)</f>
        <v>1.1000000000000001</v>
      </c>
      <c r="K34" s="16" t="str">
        <f>N1</f>
        <v>Premoli et al. (1970)</v>
      </c>
    </row>
    <row r="35" spans="3:11" x14ac:dyDescent="0.35">
      <c r="K35" s="16"/>
    </row>
  </sheetData>
  <mergeCells count="2">
    <mergeCell ref="N1:S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Propag. Incertezas (alpha)</vt:lpstr>
      <vt:lpstr>Base de Dados</vt:lpstr>
      <vt:lpstr>Fração de Vazio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facuna.alegria</cp:lastModifiedBy>
  <dcterms:created xsi:type="dcterms:W3CDTF">2015-06-05T18:17:20Z</dcterms:created>
  <dcterms:modified xsi:type="dcterms:W3CDTF">2025-03-31T15:29:48Z</dcterms:modified>
</cp:coreProperties>
</file>