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elipe Alegría\Desktop\FELIPE\Postgrado\USP\Pós-doctorado\Matriz de Validação LEMI\"/>
    </mc:Choice>
  </mc:AlternateContent>
  <xr:revisionPtr revIDLastSave="0" documentId="13_ncr:1_{08279FDB-A23F-4BDE-9CA0-21E677EC728C}" xr6:coauthVersionLast="47" xr6:coauthVersionMax="47" xr10:uidLastSave="{00000000-0000-0000-0000-000000000000}"/>
  <bookViews>
    <workbookView xWindow="-110" yWindow="-110" windowWidth="25820" windowHeight="15500" tabRatio="895" xr2:uid="{00000000-000D-0000-FFFF-FFFF00000000}"/>
  </bookViews>
  <sheets>
    <sheet name="Base de Dados" sheetId="1" r:id="rId1"/>
    <sheet name="Propag. Incertezas (alpha)" sheetId="5" r:id="rId2"/>
    <sheet name="Incerteza Densidade-Viscosidade" sheetId="10" r:id="rId3"/>
    <sheet name="Propag. Incertezas (Jl, Jg)" sheetId="8" r:id="rId4"/>
    <sheet name="Propag. Incertezas (dP_dz)" sheetId="7" r:id="rId5"/>
    <sheet name="Gradiente de Pressão" sheetId="9" r:id="rId6"/>
    <sheet name="Fração de Vazio" sheetId="2" r:id="rId7"/>
  </sheets>
  <externalReferences>
    <externalReference r:id="rId8"/>
  </externalReferences>
  <definedNames>
    <definedName name="x.">#REF!</definedName>
    <definedName name="y.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19" i="1" l="1"/>
  <c r="BD26" i="1"/>
  <c r="BD20" i="1"/>
  <c r="BL12" i="1"/>
  <c r="BL9" i="1"/>
  <c r="BK12" i="1"/>
  <c r="BK9" i="1"/>
  <c r="BL8" i="1"/>
  <c r="BL11" i="1" s="1"/>
  <c r="BK8" i="1"/>
  <c r="BK11" i="1" s="1"/>
  <c r="BD28" i="1"/>
  <c r="BD27" i="1"/>
  <c r="BD25" i="1"/>
  <c r="BD24" i="1"/>
  <c r="BD23" i="1"/>
  <c r="BD22" i="1"/>
  <c r="BD21" i="1"/>
  <c r="K20" i="5"/>
  <c r="K21" i="5"/>
  <c r="K22" i="5"/>
  <c r="K23" i="5"/>
  <c r="K24" i="5"/>
  <c r="K25" i="5"/>
  <c r="K26" i="5"/>
  <c r="K27" i="5"/>
  <c r="K28" i="5"/>
  <c r="K19" i="5"/>
  <c r="J19" i="5"/>
  <c r="J20" i="5"/>
  <c r="J21" i="5"/>
  <c r="J22" i="5"/>
  <c r="J23" i="5"/>
  <c r="J24" i="5"/>
  <c r="J25" i="5"/>
  <c r="J26" i="5"/>
  <c r="J27" i="5"/>
  <c r="J28" i="5"/>
  <c r="H20" i="5"/>
  <c r="H21" i="5"/>
  <c r="H22" i="5"/>
  <c r="H23" i="5"/>
  <c r="H24" i="5"/>
  <c r="H25" i="5"/>
  <c r="H26" i="5"/>
  <c r="H27" i="5"/>
  <c r="H28" i="5"/>
  <c r="H19" i="5"/>
  <c r="G27" i="5"/>
  <c r="G28" i="5"/>
  <c r="G26" i="5"/>
  <c r="G20" i="5"/>
  <c r="G21" i="5"/>
  <c r="G22" i="5"/>
  <c r="G23" i="5"/>
  <c r="G24" i="5"/>
  <c r="G25" i="5"/>
  <c r="G19" i="5"/>
  <c r="F20" i="5"/>
  <c r="F21" i="5"/>
  <c r="F22" i="5"/>
  <c r="F23" i="5"/>
  <c r="F24" i="5"/>
  <c r="F25" i="5"/>
  <c r="F26" i="5"/>
  <c r="F27" i="5"/>
  <c r="F28" i="5"/>
  <c r="F19" i="5"/>
  <c r="E20" i="5"/>
  <c r="E21" i="5"/>
  <c r="E22" i="5"/>
  <c r="E23" i="5"/>
  <c r="E24" i="5"/>
  <c r="E25" i="5"/>
  <c r="E26" i="5"/>
  <c r="E27" i="5"/>
  <c r="E28" i="5"/>
  <c r="E19" i="5"/>
  <c r="R20" i="5"/>
  <c r="R21" i="5"/>
  <c r="R22" i="5"/>
  <c r="R23" i="5"/>
  <c r="R24" i="5"/>
  <c r="R25" i="5"/>
  <c r="R26" i="5"/>
  <c r="R27" i="5"/>
  <c r="R28" i="5"/>
  <c r="R19" i="5"/>
  <c r="D20" i="5"/>
  <c r="D21" i="5"/>
  <c r="D22" i="5"/>
  <c r="D23" i="5"/>
  <c r="D24" i="5"/>
  <c r="D25" i="5"/>
  <c r="D26" i="5"/>
  <c r="D27" i="5"/>
  <c r="D28" i="5"/>
  <c r="D19" i="5"/>
  <c r="K11" i="5"/>
  <c r="K12" i="5"/>
  <c r="K13" i="5"/>
  <c r="K14" i="5"/>
  <c r="K15" i="5"/>
  <c r="K16" i="5"/>
  <c r="K17" i="5"/>
  <c r="K10" i="5"/>
  <c r="K4" i="5"/>
  <c r="K5" i="5"/>
  <c r="K6" i="5"/>
  <c r="K7" i="5"/>
  <c r="K8" i="5"/>
  <c r="K3" i="5"/>
  <c r="K20" i="1"/>
  <c r="P20" i="1" s="1"/>
  <c r="L20" i="1"/>
  <c r="Q20" i="1" s="1"/>
  <c r="K21" i="1"/>
  <c r="P21" i="1" s="1"/>
  <c r="U21" i="1" s="1"/>
  <c r="AK21" i="1" s="1"/>
  <c r="L21" i="1"/>
  <c r="Q21" i="1" s="1"/>
  <c r="K22" i="1"/>
  <c r="P22" i="1" s="1"/>
  <c r="U22" i="1" s="1"/>
  <c r="L22" i="1"/>
  <c r="Q22" i="1" s="1"/>
  <c r="K23" i="1"/>
  <c r="P23" i="1" s="1"/>
  <c r="R23" i="1" s="1"/>
  <c r="V23" i="1" s="1"/>
  <c r="L23" i="1"/>
  <c r="K24" i="1"/>
  <c r="L24" i="1"/>
  <c r="Q24" i="1" s="1"/>
  <c r="K25" i="1"/>
  <c r="P25" i="1" s="1"/>
  <c r="L25" i="1"/>
  <c r="Q25" i="1" s="1"/>
  <c r="K26" i="1"/>
  <c r="P26" i="1" s="1"/>
  <c r="L26" i="1"/>
  <c r="Q26" i="1" s="1"/>
  <c r="K27" i="1"/>
  <c r="P27" i="1" s="1"/>
  <c r="L27" i="1"/>
  <c r="Q27" i="1" s="1"/>
  <c r="K28" i="1"/>
  <c r="P28" i="1" s="1"/>
  <c r="L28" i="1"/>
  <c r="Q28" i="1" s="1"/>
  <c r="BB20" i="1"/>
  <c r="BB21" i="1"/>
  <c r="BB22" i="1"/>
  <c r="BB23" i="1"/>
  <c r="BB24" i="1"/>
  <c r="BB25" i="1"/>
  <c r="BB26" i="1"/>
  <c r="BB27" i="1"/>
  <c r="BB28" i="1"/>
  <c r="BB19" i="1"/>
  <c r="AU22" i="1"/>
  <c r="AU23" i="1"/>
  <c r="AU24" i="1"/>
  <c r="AU25" i="1"/>
  <c r="AU26" i="1"/>
  <c r="AU27" i="1"/>
  <c r="AU28" i="1"/>
  <c r="AU19" i="1"/>
  <c r="AS20" i="1"/>
  <c r="AU20" i="1" s="1"/>
  <c r="AS21" i="1"/>
  <c r="AU21" i="1" s="1"/>
  <c r="AS22" i="1"/>
  <c r="AS23" i="1"/>
  <c r="AS24" i="1"/>
  <c r="AS25" i="1"/>
  <c r="AS26" i="1"/>
  <c r="AS27" i="1"/>
  <c r="AS28" i="1"/>
  <c r="AS19" i="1"/>
  <c r="Q23" i="1"/>
  <c r="AB23" i="1" s="1"/>
  <c r="AL23" i="1" s="1"/>
  <c r="AW23" i="1" s="1"/>
  <c r="P24" i="1"/>
  <c r="R24" i="1" s="1"/>
  <c r="L19" i="1"/>
  <c r="Q19" i="1" s="1"/>
  <c r="K19" i="1"/>
  <c r="P19" i="1" s="1"/>
  <c r="E20" i="1"/>
  <c r="D20" i="1" s="1"/>
  <c r="E21" i="1"/>
  <c r="D21" i="1" s="1"/>
  <c r="E22" i="1"/>
  <c r="D22" i="1" s="1"/>
  <c r="E23" i="1"/>
  <c r="D23" i="1" s="1"/>
  <c r="E24" i="1"/>
  <c r="D24" i="1" s="1"/>
  <c r="E25" i="1"/>
  <c r="D25" i="1" s="1"/>
  <c r="E26" i="1"/>
  <c r="D26" i="1" s="1"/>
  <c r="E27" i="1"/>
  <c r="D27" i="1" s="1"/>
  <c r="E28" i="1"/>
  <c r="D28" i="1" s="1"/>
  <c r="E19" i="1"/>
  <c r="D19" i="1" s="1"/>
  <c r="U19" i="1" l="1"/>
  <c r="R19" i="1"/>
  <c r="V19" i="1" s="1"/>
  <c r="AB19" i="1"/>
  <c r="W19" i="1"/>
  <c r="AC19" i="1" s="1"/>
  <c r="W22" i="1"/>
  <c r="AC22" i="1" s="1"/>
  <c r="AB22" i="1"/>
  <c r="AL22" i="1" s="1"/>
  <c r="AW22" i="1" s="1"/>
  <c r="W21" i="1"/>
  <c r="AC21" i="1" s="1"/>
  <c r="AB21" i="1"/>
  <c r="AL21" i="1" s="1"/>
  <c r="AO21" i="1" s="1"/>
  <c r="AQ22" i="1"/>
  <c r="AE22" i="1"/>
  <c r="AF22" i="1" s="1"/>
  <c r="R22" i="1"/>
  <c r="V22" i="1" s="1"/>
  <c r="R21" i="1"/>
  <c r="V21" i="1" s="1"/>
  <c r="AB28" i="1"/>
  <c r="W28" i="1"/>
  <c r="AC28" i="1" s="1"/>
  <c r="U28" i="1"/>
  <c r="R28" i="1"/>
  <c r="V28" i="1" s="1"/>
  <c r="AB25" i="1"/>
  <c r="W25" i="1"/>
  <c r="AC25" i="1" s="1"/>
  <c r="R27" i="1"/>
  <c r="V27" i="1" s="1"/>
  <c r="U27" i="1"/>
  <c r="U25" i="1"/>
  <c r="R25" i="1"/>
  <c r="V25" i="1" s="1"/>
  <c r="AB24" i="1"/>
  <c r="AL24" i="1" s="1"/>
  <c r="W24" i="1"/>
  <c r="AC24" i="1" s="1"/>
  <c r="W27" i="1"/>
  <c r="AC27" i="1" s="1"/>
  <c r="AB27" i="1"/>
  <c r="AL27" i="1" s="1"/>
  <c r="AW27" i="1" s="1"/>
  <c r="AB26" i="1"/>
  <c r="W26" i="1"/>
  <c r="AC26" i="1"/>
  <c r="R26" i="1"/>
  <c r="U26" i="1"/>
  <c r="V26" i="1"/>
  <c r="AV21" i="1"/>
  <c r="AN21" i="1"/>
  <c r="AB20" i="1"/>
  <c r="AL20" i="1" s="1"/>
  <c r="W20" i="1"/>
  <c r="AC20" i="1"/>
  <c r="W23" i="1"/>
  <c r="AC23" i="1" s="1"/>
  <c r="AK22" i="1"/>
  <c r="U23" i="1"/>
  <c r="V24" i="1"/>
  <c r="U24" i="1"/>
  <c r="R20" i="1"/>
  <c r="V20" i="1" s="1"/>
  <c r="U20" i="1"/>
  <c r="AO23" i="1"/>
  <c r="AO22" i="1"/>
  <c r="C4" i="7"/>
  <c r="C6" i="7"/>
  <c r="C14" i="7"/>
  <c r="C15" i="7"/>
  <c r="C16" i="7"/>
  <c r="C17" i="7"/>
  <c r="C18" i="7"/>
  <c r="C13" i="7"/>
  <c r="C5" i="7"/>
  <c r="C11" i="7"/>
  <c r="C12" i="7"/>
  <c r="C7" i="7"/>
  <c r="C8" i="7"/>
  <c r="C9" i="7"/>
  <c r="J11" i="9"/>
  <c r="J12" i="9"/>
  <c r="J13" i="9"/>
  <c r="J14" i="9"/>
  <c r="J15" i="9"/>
  <c r="J16" i="9"/>
  <c r="J17" i="9"/>
  <c r="J10" i="9"/>
  <c r="D11" i="5"/>
  <c r="D12" i="5"/>
  <c r="D13" i="5"/>
  <c r="D14" i="5"/>
  <c r="D15" i="5"/>
  <c r="D16" i="5"/>
  <c r="D17" i="5"/>
  <c r="D10" i="5"/>
  <c r="AP21" i="1" l="1"/>
  <c r="AE19" i="1"/>
  <c r="AF19" i="1" s="1"/>
  <c r="AL19" i="1"/>
  <c r="AQ19" i="1"/>
  <c r="AK19" i="1"/>
  <c r="AE21" i="1"/>
  <c r="AF21" i="1" s="1"/>
  <c r="AQ21" i="1"/>
  <c r="AQ28" i="1"/>
  <c r="AO24" i="1"/>
  <c r="AW24" i="1"/>
  <c r="AE26" i="1"/>
  <c r="AF26" i="1" s="1"/>
  <c r="AL26" i="1"/>
  <c r="AN22" i="1"/>
  <c r="AP22" i="1" s="1"/>
  <c r="AV22" i="1"/>
  <c r="AX22" i="1" s="1"/>
  <c r="AY22" i="1" s="1"/>
  <c r="AL28" i="1"/>
  <c r="AE23" i="1"/>
  <c r="AF23" i="1" s="1"/>
  <c r="AK23" i="1"/>
  <c r="AK25" i="1"/>
  <c r="AQ25" i="1"/>
  <c r="AE25" i="1"/>
  <c r="AF25" i="1" s="1"/>
  <c r="AL25" i="1"/>
  <c r="AK24" i="1"/>
  <c r="AE24" i="1"/>
  <c r="AF24" i="1" s="1"/>
  <c r="AM21" i="1"/>
  <c r="AR21" i="1" s="1"/>
  <c r="AW21" i="1"/>
  <c r="AQ24" i="1"/>
  <c r="AQ23" i="1"/>
  <c r="AO20" i="1"/>
  <c r="AW20" i="1"/>
  <c r="AK27" i="1"/>
  <c r="AQ27" i="1"/>
  <c r="AE27" i="1"/>
  <c r="AF27" i="1" s="1"/>
  <c r="AO27" i="1"/>
  <c r="AM22" i="1"/>
  <c r="AR22" i="1" s="1"/>
  <c r="AK26" i="1"/>
  <c r="AQ26" i="1"/>
  <c r="AK28" i="1"/>
  <c r="AE28" i="1"/>
  <c r="AF28" i="1" s="1"/>
  <c r="AQ20" i="1"/>
  <c r="AK20" i="1"/>
  <c r="AE20" i="1"/>
  <c r="AF20" i="1" s="1"/>
  <c r="F4" i="7"/>
  <c r="G4" i="7" s="1"/>
  <c r="F5" i="7"/>
  <c r="G5" i="7" s="1"/>
  <c r="F6" i="7"/>
  <c r="G6" i="7" s="1"/>
  <c r="F7" i="7"/>
  <c r="G7" i="7" s="1"/>
  <c r="F8" i="7"/>
  <c r="G8" i="7" s="1"/>
  <c r="F9" i="7"/>
  <c r="G9" i="7" s="1"/>
  <c r="F11" i="7"/>
  <c r="G11" i="7" s="1"/>
  <c r="F12" i="7"/>
  <c r="G12" i="7" s="1"/>
  <c r="F13" i="7"/>
  <c r="G13" i="7" s="1"/>
  <c r="F14" i="7"/>
  <c r="G14" i="7" s="1"/>
  <c r="F15" i="7"/>
  <c r="G15" i="7" s="1"/>
  <c r="F16" i="7"/>
  <c r="G16" i="7" s="1"/>
  <c r="F17" i="7"/>
  <c r="G17" i="7" s="1"/>
  <c r="F18" i="7"/>
  <c r="G18" i="7"/>
  <c r="I12" i="7"/>
  <c r="I13" i="7"/>
  <c r="I14" i="7"/>
  <c r="I15" i="7"/>
  <c r="I16" i="7"/>
  <c r="I17" i="7"/>
  <c r="I18" i="7"/>
  <c r="I11" i="7"/>
  <c r="G10" i="9"/>
  <c r="G11" i="9"/>
  <c r="H11" i="9" s="1"/>
  <c r="G12" i="9"/>
  <c r="H12" i="9" s="1"/>
  <c r="G13" i="9"/>
  <c r="H13" i="9" s="1"/>
  <c r="G14" i="9"/>
  <c r="H14" i="9" s="1"/>
  <c r="G15" i="9"/>
  <c r="H15" i="9" s="1"/>
  <c r="G16" i="9"/>
  <c r="H16" i="9" s="1"/>
  <c r="G17" i="9"/>
  <c r="H17" i="9" s="1"/>
  <c r="BB11" i="1"/>
  <c r="BB12" i="1"/>
  <c r="BB13" i="1"/>
  <c r="BB14" i="1"/>
  <c r="BB15" i="1"/>
  <c r="BB16" i="1"/>
  <c r="BB17" i="1"/>
  <c r="BB10" i="1"/>
  <c r="B11" i="9"/>
  <c r="C11" i="9"/>
  <c r="B12" i="9"/>
  <c r="C12" i="9"/>
  <c r="B13" i="9"/>
  <c r="C13" i="9"/>
  <c r="B14" i="9"/>
  <c r="C14" i="9"/>
  <c r="B15" i="9"/>
  <c r="C15" i="9"/>
  <c r="B16" i="9"/>
  <c r="C16" i="9"/>
  <c r="B17" i="9"/>
  <c r="C17" i="9"/>
  <c r="B10" i="9"/>
  <c r="C10" i="9"/>
  <c r="A12" i="7"/>
  <c r="A13" i="7"/>
  <c r="A14" i="7"/>
  <c r="A15" i="7"/>
  <c r="A16" i="7"/>
  <c r="A17" i="7"/>
  <c r="A18" i="7"/>
  <c r="A11" i="7"/>
  <c r="F11" i="8"/>
  <c r="H11" i="8" s="1"/>
  <c r="G11" i="8"/>
  <c r="I11" i="8" s="1"/>
  <c r="F12" i="8"/>
  <c r="H12" i="8" s="1"/>
  <c r="G12" i="8"/>
  <c r="I12" i="8" s="1"/>
  <c r="F13" i="8"/>
  <c r="H13" i="8" s="1"/>
  <c r="G13" i="8"/>
  <c r="I13" i="8" s="1"/>
  <c r="F14" i="8"/>
  <c r="H14" i="8" s="1"/>
  <c r="G14" i="8"/>
  <c r="I14" i="8" s="1"/>
  <c r="F15" i="8"/>
  <c r="H15" i="8" s="1"/>
  <c r="G15" i="8"/>
  <c r="I15" i="8" s="1"/>
  <c r="F16" i="8"/>
  <c r="G16" i="8"/>
  <c r="I16" i="8" s="1"/>
  <c r="H16" i="8"/>
  <c r="F17" i="8"/>
  <c r="H17" i="8" s="1"/>
  <c r="G17" i="8"/>
  <c r="I17" i="8" s="1"/>
  <c r="F18" i="8"/>
  <c r="H18" i="8" s="1"/>
  <c r="G18" i="8"/>
  <c r="I18" i="8" s="1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A18" i="8"/>
  <c r="A13" i="8"/>
  <c r="A14" i="8"/>
  <c r="A15" i="8"/>
  <c r="A16" i="8"/>
  <c r="A17" i="8"/>
  <c r="A11" i="8"/>
  <c r="A12" i="8"/>
  <c r="F15" i="10"/>
  <c r="F16" i="10"/>
  <c r="F17" i="10"/>
  <c r="F18" i="10"/>
  <c r="F19" i="10"/>
  <c r="F20" i="10"/>
  <c r="F21" i="10"/>
  <c r="F14" i="10"/>
  <c r="E15" i="10"/>
  <c r="G15" i="10" s="1"/>
  <c r="E16" i="10"/>
  <c r="H16" i="10" s="1"/>
  <c r="E17" i="10"/>
  <c r="G17" i="10" s="1"/>
  <c r="E18" i="10"/>
  <c r="G18" i="10" s="1"/>
  <c r="E19" i="10"/>
  <c r="G19" i="10" s="1"/>
  <c r="E20" i="10"/>
  <c r="G20" i="10" s="1"/>
  <c r="E21" i="10"/>
  <c r="H21" i="10" s="1"/>
  <c r="E14" i="10"/>
  <c r="G14" i="10" s="1"/>
  <c r="J11" i="5"/>
  <c r="J12" i="5"/>
  <c r="J13" i="5"/>
  <c r="J14" i="5"/>
  <c r="J15" i="5"/>
  <c r="J16" i="5"/>
  <c r="J17" i="5"/>
  <c r="J10" i="5"/>
  <c r="H17" i="5"/>
  <c r="H16" i="5"/>
  <c r="H15" i="5"/>
  <c r="H14" i="5"/>
  <c r="H13" i="5"/>
  <c r="H12" i="5"/>
  <c r="H11" i="5"/>
  <c r="H10" i="5"/>
  <c r="G17" i="5"/>
  <c r="G16" i="5"/>
  <c r="G15" i="5"/>
  <c r="G14" i="5"/>
  <c r="G13" i="5"/>
  <c r="G12" i="5"/>
  <c r="G11" i="5"/>
  <c r="G10" i="5"/>
  <c r="F11" i="5"/>
  <c r="F12" i="5"/>
  <c r="F13" i="5"/>
  <c r="F14" i="5"/>
  <c r="F15" i="5"/>
  <c r="F16" i="5"/>
  <c r="F17" i="5"/>
  <c r="F10" i="5"/>
  <c r="E11" i="5"/>
  <c r="E12" i="5"/>
  <c r="E13" i="5"/>
  <c r="E14" i="5"/>
  <c r="E15" i="5"/>
  <c r="E16" i="5"/>
  <c r="E17" i="5"/>
  <c r="R17" i="5"/>
  <c r="R16" i="5"/>
  <c r="R15" i="5"/>
  <c r="R14" i="5"/>
  <c r="R13" i="5"/>
  <c r="R12" i="5"/>
  <c r="R11" i="5"/>
  <c r="R10" i="5"/>
  <c r="E10" i="5"/>
  <c r="AS17" i="1"/>
  <c r="AU17" i="1" s="1"/>
  <c r="L17" i="1"/>
  <c r="Q17" i="1" s="1"/>
  <c r="K17" i="1"/>
  <c r="P17" i="1" s="1"/>
  <c r="E17" i="1"/>
  <c r="D17" i="1" s="1"/>
  <c r="AS16" i="1"/>
  <c r="AU16" i="1" s="1"/>
  <c r="L16" i="1"/>
  <c r="Q16" i="1" s="1"/>
  <c r="K16" i="1"/>
  <c r="P16" i="1" s="1"/>
  <c r="E16" i="1"/>
  <c r="D16" i="1"/>
  <c r="AS15" i="1"/>
  <c r="AU15" i="1" s="1"/>
  <c r="P15" i="1"/>
  <c r="L15" i="1"/>
  <c r="Q15" i="1" s="1"/>
  <c r="K15" i="1"/>
  <c r="E15" i="1"/>
  <c r="D15" i="1"/>
  <c r="AS14" i="1"/>
  <c r="AU14" i="1" s="1"/>
  <c r="L14" i="1"/>
  <c r="Q14" i="1" s="1"/>
  <c r="K14" i="1"/>
  <c r="P14" i="1" s="1"/>
  <c r="E14" i="1"/>
  <c r="D14" i="1"/>
  <c r="AS13" i="1"/>
  <c r="AU13" i="1" s="1"/>
  <c r="L13" i="1"/>
  <c r="Q13" i="1" s="1"/>
  <c r="K13" i="1"/>
  <c r="P13" i="1" s="1"/>
  <c r="E13" i="1"/>
  <c r="D13" i="1" s="1"/>
  <c r="AS12" i="1"/>
  <c r="AU12" i="1" s="1"/>
  <c r="L12" i="1"/>
  <c r="Q12" i="1" s="1"/>
  <c r="K12" i="1"/>
  <c r="P12" i="1" s="1"/>
  <c r="E12" i="1"/>
  <c r="D12" i="1"/>
  <c r="AS11" i="1"/>
  <c r="AU11" i="1" s="1"/>
  <c r="L11" i="1"/>
  <c r="Q11" i="1" s="1"/>
  <c r="K11" i="1"/>
  <c r="P11" i="1" s="1"/>
  <c r="E11" i="1"/>
  <c r="D11" i="1"/>
  <c r="AS10" i="1"/>
  <c r="AU10" i="1" s="1"/>
  <c r="L10" i="1"/>
  <c r="Q10" i="1" s="1"/>
  <c r="K10" i="1"/>
  <c r="P10" i="1" s="1"/>
  <c r="R10" i="1" s="1"/>
  <c r="V10" i="1" s="1"/>
  <c r="E10" i="1"/>
  <c r="D10" i="1"/>
  <c r="E9" i="8"/>
  <c r="E8" i="8"/>
  <c r="E7" i="8"/>
  <c r="E6" i="8"/>
  <c r="E5" i="8"/>
  <c r="E4" i="8"/>
  <c r="D5" i="8"/>
  <c r="D6" i="8"/>
  <c r="D7" i="8"/>
  <c r="D8" i="8"/>
  <c r="D9" i="8"/>
  <c r="D4" i="8"/>
  <c r="F8" i="10"/>
  <c r="F9" i="10"/>
  <c r="F10" i="10"/>
  <c r="F11" i="10"/>
  <c r="F12" i="10"/>
  <c r="F7" i="10"/>
  <c r="E8" i="10"/>
  <c r="H8" i="10" s="1"/>
  <c r="E9" i="10"/>
  <c r="G9" i="10" s="1"/>
  <c r="E10" i="10"/>
  <c r="G10" i="10" s="1"/>
  <c r="E11" i="10"/>
  <c r="G11" i="10" s="1"/>
  <c r="E12" i="10"/>
  <c r="H12" i="10" s="1"/>
  <c r="E7" i="10"/>
  <c r="G7" i="10" s="1"/>
  <c r="C20" i="10"/>
  <c r="Q12" i="10"/>
  <c r="P12" i="10"/>
  <c r="Q11" i="10"/>
  <c r="P11" i="10"/>
  <c r="T11" i="10" s="1"/>
  <c r="U11" i="10" s="1"/>
  <c r="Q10" i="10"/>
  <c r="P10" i="10"/>
  <c r="T10" i="10" s="1"/>
  <c r="U10" i="10" s="1"/>
  <c r="Q9" i="10"/>
  <c r="P9" i="10"/>
  <c r="T9" i="10" s="1"/>
  <c r="U9" i="10" s="1"/>
  <c r="Q8" i="10"/>
  <c r="P8" i="10"/>
  <c r="Q7" i="10"/>
  <c r="P7" i="10"/>
  <c r="A5" i="8"/>
  <c r="A6" i="8"/>
  <c r="A7" i="8"/>
  <c r="A8" i="8"/>
  <c r="A9" i="8"/>
  <c r="A4" i="8"/>
  <c r="D4" i="5"/>
  <c r="D5" i="5"/>
  <c r="D6" i="5"/>
  <c r="D7" i="5"/>
  <c r="D8" i="5"/>
  <c r="D3" i="5"/>
  <c r="B4" i="9"/>
  <c r="B5" i="9"/>
  <c r="B6" i="9"/>
  <c r="B7" i="9"/>
  <c r="B8" i="9"/>
  <c r="B3" i="9"/>
  <c r="A5" i="7"/>
  <c r="A6" i="7"/>
  <c r="A7" i="7"/>
  <c r="A8" i="7"/>
  <c r="A9" i="7"/>
  <c r="A4" i="7"/>
  <c r="I5" i="7"/>
  <c r="I6" i="7"/>
  <c r="I7" i="7"/>
  <c r="I8" i="7"/>
  <c r="I9" i="7"/>
  <c r="I4" i="7"/>
  <c r="C4" i="9"/>
  <c r="C5" i="9"/>
  <c r="C6" i="9"/>
  <c r="C7" i="9"/>
  <c r="C8" i="9"/>
  <c r="C3" i="9"/>
  <c r="F4" i="9"/>
  <c r="J4" i="9" s="1"/>
  <c r="F5" i="9"/>
  <c r="J5" i="9" s="1"/>
  <c r="F6" i="9"/>
  <c r="J6" i="9" s="1"/>
  <c r="F7" i="9"/>
  <c r="J7" i="9" s="1"/>
  <c r="F8" i="9"/>
  <c r="J8" i="9" s="1"/>
  <c r="F3" i="9"/>
  <c r="J3" i="9" s="1"/>
  <c r="G4" i="9"/>
  <c r="G5" i="9"/>
  <c r="G6" i="9"/>
  <c r="G7" i="9"/>
  <c r="G8" i="9"/>
  <c r="G3" i="9"/>
  <c r="BB4" i="1"/>
  <c r="BB5" i="1"/>
  <c r="BB6" i="1"/>
  <c r="BB7" i="1"/>
  <c r="BB8" i="1"/>
  <c r="BB3" i="1"/>
  <c r="G9" i="8"/>
  <c r="F9" i="8"/>
  <c r="C9" i="8"/>
  <c r="L9" i="8" s="1"/>
  <c r="B9" i="8"/>
  <c r="G8" i="8"/>
  <c r="F8" i="8"/>
  <c r="C8" i="8"/>
  <c r="L8" i="8" s="1"/>
  <c r="B8" i="8"/>
  <c r="G7" i="8"/>
  <c r="F7" i="8"/>
  <c r="C7" i="8"/>
  <c r="L7" i="8" s="1"/>
  <c r="B7" i="8"/>
  <c r="G6" i="8"/>
  <c r="F6" i="8"/>
  <c r="C6" i="8"/>
  <c r="L6" i="8" s="1"/>
  <c r="B6" i="8"/>
  <c r="G5" i="8"/>
  <c r="F5" i="8"/>
  <c r="C5" i="8"/>
  <c r="L5" i="8" s="1"/>
  <c r="B5" i="8"/>
  <c r="G4" i="8"/>
  <c r="F4" i="8"/>
  <c r="C4" i="8"/>
  <c r="L4" i="8" s="1"/>
  <c r="B4" i="8"/>
  <c r="G6" i="5"/>
  <c r="G8" i="5"/>
  <c r="G7" i="5"/>
  <c r="G5" i="5"/>
  <c r="G3" i="5"/>
  <c r="E4" i="5"/>
  <c r="E5" i="5"/>
  <c r="E6" i="5"/>
  <c r="E7" i="5"/>
  <c r="E8" i="5"/>
  <c r="E3" i="5"/>
  <c r="R4" i="5"/>
  <c r="R5" i="5"/>
  <c r="R6" i="5"/>
  <c r="R7" i="5"/>
  <c r="R8" i="5"/>
  <c r="R3" i="5"/>
  <c r="P3" i="5"/>
  <c r="O3" i="5"/>
  <c r="K31" i="2"/>
  <c r="K34" i="2"/>
  <c r="AM28" i="1" l="1"/>
  <c r="AR28" i="1" s="1"/>
  <c r="J17" i="8"/>
  <c r="O17" i="7" s="1"/>
  <c r="J15" i="8"/>
  <c r="O15" i="7" s="1"/>
  <c r="J16" i="8"/>
  <c r="O16" i="7" s="1"/>
  <c r="H19" i="10"/>
  <c r="J13" i="8"/>
  <c r="O13" i="7" s="1"/>
  <c r="AB10" i="1"/>
  <c r="AL10" i="1" s="1"/>
  <c r="AO10" i="1" s="1"/>
  <c r="W10" i="1"/>
  <c r="AC10" i="1" s="1"/>
  <c r="G16" i="10"/>
  <c r="J14" i="8"/>
  <c r="O14" i="7" s="1"/>
  <c r="H15" i="10"/>
  <c r="U10" i="1"/>
  <c r="AE10" i="1" s="1"/>
  <c r="AF10" i="1" s="1"/>
  <c r="J12" i="8"/>
  <c r="O12" i="7" s="1"/>
  <c r="AN19" i="1"/>
  <c r="AV19" i="1"/>
  <c r="AM19" i="1"/>
  <c r="AR19" i="1" s="1"/>
  <c r="AO19" i="1"/>
  <c r="AW19" i="1"/>
  <c r="AX21" i="1"/>
  <c r="AY21" i="1" s="1"/>
  <c r="H18" i="7"/>
  <c r="J18" i="7" s="1"/>
  <c r="R18" i="7"/>
  <c r="N17" i="7"/>
  <c r="P17" i="7" s="1"/>
  <c r="R17" i="7"/>
  <c r="H16" i="7"/>
  <c r="J16" i="7" s="1"/>
  <c r="B16" i="7"/>
  <c r="D16" i="7" s="1"/>
  <c r="N16" i="7"/>
  <c r="P16" i="7" s="1"/>
  <c r="R16" i="7"/>
  <c r="N15" i="7"/>
  <c r="P15" i="7" s="1"/>
  <c r="R15" i="7"/>
  <c r="B15" i="7"/>
  <c r="D15" i="7" s="1"/>
  <c r="N14" i="7"/>
  <c r="P14" i="7" s="1"/>
  <c r="R14" i="7"/>
  <c r="K13" i="7"/>
  <c r="R13" i="7"/>
  <c r="N12" i="7"/>
  <c r="P12" i="7" s="1"/>
  <c r="R12" i="7"/>
  <c r="J11" i="8"/>
  <c r="O11" i="7" s="1"/>
  <c r="G21" i="10"/>
  <c r="K21" i="10" s="1"/>
  <c r="L21" i="10" s="1"/>
  <c r="L18" i="7" s="1"/>
  <c r="M18" i="7" s="1"/>
  <c r="H20" i="10"/>
  <c r="K20" i="10" s="1"/>
  <c r="L20" i="10" s="1"/>
  <c r="L17" i="7" s="1"/>
  <c r="AV24" i="1"/>
  <c r="AX24" i="1" s="1"/>
  <c r="AY24" i="1" s="1"/>
  <c r="AN24" i="1"/>
  <c r="AP24" i="1" s="1"/>
  <c r="AM24" i="1"/>
  <c r="AR24" i="1" s="1"/>
  <c r="AN26" i="1"/>
  <c r="AV26" i="1"/>
  <c r="AN25" i="1"/>
  <c r="AM25" i="1"/>
  <c r="AR25" i="1" s="1"/>
  <c r="AV25" i="1"/>
  <c r="AO25" i="1"/>
  <c r="AW25" i="1"/>
  <c r="AV28" i="1"/>
  <c r="AN28" i="1"/>
  <c r="AV23" i="1"/>
  <c r="AX23" i="1" s="1"/>
  <c r="AY23" i="1" s="1"/>
  <c r="AN23" i="1"/>
  <c r="AP23" i="1" s="1"/>
  <c r="AM23" i="1"/>
  <c r="AR23" i="1" s="1"/>
  <c r="AO28" i="1"/>
  <c r="AW28" i="1"/>
  <c r="AV27" i="1"/>
  <c r="AX27" i="1" s="1"/>
  <c r="AY27" i="1" s="1"/>
  <c r="AN27" i="1"/>
  <c r="AP27" i="1" s="1"/>
  <c r="AM27" i="1"/>
  <c r="AR27" i="1" s="1"/>
  <c r="AM26" i="1"/>
  <c r="AR26" i="1" s="1"/>
  <c r="AW26" i="1"/>
  <c r="AO26" i="1"/>
  <c r="AV20" i="1"/>
  <c r="AX20" i="1" s="1"/>
  <c r="AY20" i="1" s="1"/>
  <c r="AN20" i="1"/>
  <c r="AP20" i="1" s="1"/>
  <c r="AM20" i="1"/>
  <c r="AR20" i="1" s="1"/>
  <c r="K18" i="7"/>
  <c r="K17" i="7"/>
  <c r="H10" i="9"/>
  <c r="R11" i="7" s="1"/>
  <c r="H17" i="7"/>
  <c r="J17" i="7" s="1"/>
  <c r="B13" i="7"/>
  <c r="D13" i="7" s="1"/>
  <c r="H12" i="7"/>
  <c r="J12" i="7" s="1"/>
  <c r="B18" i="7"/>
  <c r="D18" i="7" s="1"/>
  <c r="N18" i="7"/>
  <c r="K16" i="7"/>
  <c r="K15" i="7"/>
  <c r="K12" i="7"/>
  <c r="B12" i="7"/>
  <c r="D12" i="7" s="1"/>
  <c r="H15" i="7"/>
  <c r="J15" i="7" s="1"/>
  <c r="H13" i="7"/>
  <c r="J13" i="7" s="1"/>
  <c r="B17" i="7"/>
  <c r="D17" i="7" s="1"/>
  <c r="B14" i="7"/>
  <c r="D14" i="7" s="1"/>
  <c r="K14" i="7"/>
  <c r="H14" i="7"/>
  <c r="J14" i="7" s="1"/>
  <c r="N13" i="7"/>
  <c r="J18" i="8"/>
  <c r="O18" i="7" s="1"/>
  <c r="K19" i="10"/>
  <c r="L19" i="10" s="1"/>
  <c r="L16" i="7" s="1"/>
  <c r="G12" i="10"/>
  <c r="H14" i="10"/>
  <c r="K14" i="10" s="1"/>
  <c r="L14" i="10" s="1"/>
  <c r="L11" i="7" s="1"/>
  <c r="K15" i="10"/>
  <c r="L15" i="10" s="1"/>
  <c r="L12" i="7" s="1"/>
  <c r="K16" i="10"/>
  <c r="L16" i="10" s="1"/>
  <c r="L13" i="7" s="1"/>
  <c r="H18" i="10"/>
  <c r="K18" i="10" s="1"/>
  <c r="L18" i="10" s="1"/>
  <c r="L15" i="7" s="1"/>
  <c r="H17" i="10"/>
  <c r="K17" i="10" s="1"/>
  <c r="L17" i="10" s="1"/>
  <c r="L14" i="7" s="1"/>
  <c r="H9" i="10"/>
  <c r="K9" i="10" s="1"/>
  <c r="L9" i="10" s="1"/>
  <c r="L6" i="7" s="1"/>
  <c r="U13" i="1"/>
  <c r="R13" i="1"/>
  <c r="V13" i="1" s="1"/>
  <c r="AC17" i="1"/>
  <c r="AB13" i="1"/>
  <c r="AL13" i="1" s="1"/>
  <c r="W13" i="1"/>
  <c r="AC13" i="1"/>
  <c r="AB16" i="1"/>
  <c r="AL16" i="1" s="1"/>
  <c r="W16" i="1"/>
  <c r="AC16" i="1" s="1"/>
  <c r="U12" i="1"/>
  <c r="R12" i="1"/>
  <c r="V12" i="1" s="1"/>
  <c r="R15" i="1"/>
  <c r="V15" i="1" s="1"/>
  <c r="U17" i="1"/>
  <c r="R17" i="1"/>
  <c r="V17" i="1" s="1"/>
  <c r="AB15" i="1"/>
  <c r="AL15" i="1" s="1"/>
  <c r="W17" i="1"/>
  <c r="AW10" i="1"/>
  <c r="W12" i="1"/>
  <c r="AC12" i="1" s="1"/>
  <c r="U15" i="1"/>
  <c r="AB12" i="1"/>
  <c r="AL12" i="1" s="1"/>
  <c r="W15" i="1"/>
  <c r="AC15" i="1" s="1"/>
  <c r="U14" i="1"/>
  <c r="R14" i="1"/>
  <c r="V14" i="1" s="1"/>
  <c r="AB14" i="1"/>
  <c r="AL14" i="1" s="1"/>
  <c r="W14" i="1"/>
  <c r="AC14" i="1" s="1"/>
  <c r="U11" i="1"/>
  <c r="R11" i="1"/>
  <c r="V11" i="1" s="1"/>
  <c r="AB11" i="1"/>
  <c r="AL11" i="1" s="1"/>
  <c r="W11" i="1"/>
  <c r="AC11" i="1"/>
  <c r="AB17" i="1"/>
  <c r="AL17" i="1" s="1"/>
  <c r="R16" i="1"/>
  <c r="V16" i="1" s="1"/>
  <c r="U16" i="1"/>
  <c r="H8" i="9"/>
  <c r="R9" i="7" s="1"/>
  <c r="H7" i="10"/>
  <c r="K7" i="10" s="1"/>
  <c r="L7" i="10" s="1"/>
  <c r="L4" i="7" s="1"/>
  <c r="I7" i="8"/>
  <c r="H8" i="8"/>
  <c r="I8" i="8"/>
  <c r="H10" i="10"/>
  <c r="K10" i="10" s="1"/>
  <c r="L10" i="10" s="1"/>
  <c r="L7" i="7" s="1"/>
  <c r="H11" i="10"/>
  <c r="K11" i="10" s="1"/>
  <c r="L11" i="10" s="1"/>
  <c r="L8" i="7" s="1"/>
  <c r="K4" i="8"/>
  <c r="H9" i="8"/>
  <c r="J9" i="8"/>
  <c r="O9" i="7" s="1"/>
  <c r="G8" i="10"/>
  <c r="K8" i="10" s="1"/>
  <c r="L8" i="10" s="1"/>
  <c r="L5" i="7" s="1"/>
  <c r="H6" i="9"/>
  <c r="R7" i="7" s="1"/>
  <c r="T12" i="10"/>
  <c r="U12" i="10" s="1"/>
  <c r="T7" i="10"/>
  <c r="U7" i="10" s="1"/>
  <c r="T8" i="10"/>
  <c r="U8" i="10" s="1"/>
  <c r="J5" i="8"/>
  <c r="O5" i="7" s="1"/>
  <c r="J7" i="8"/>
  <c r="O7" i="7" s="1"/>
  <c r="J6" i="8"/>
  <c r="O6" i="7" s="1"/>
  <c r="J4" i="8"/>
  <c r="O4" i="7" s="1"/>
  <c r="K12" i="10"/>
  <c r="L12" i="10" s="1"/>
  <c r="L9" i="7" s="1"/>
  <c r="H9" i="7"/>
  <c r="J9" i="7" s="1"/>
  <c r="H7" i="9"/>
  <c r="R8" i="7" s="1"/>
  <c r="K8" i="7"/>
  <c r="H6" i="8"/>
  <c r="I6" i="8"/>
  <c r="I9" i="8"/>
  <c r="K9" i="8"/>
  <c r="H7" i="8"/>
  <c r="I4" i="8"/>
  <c r="K7" i="8"/>
  <c r="I5" i="8"/>
  <c r="K5" i="8"/>
  <c r="J8" i="8"/>
  <c r="O8" i="7" s="1"/>
  <c r="H4" i="8"/>
  <c r="H5" i="8"/>
  <c r="H4" i="9"/>
  <c r="R5" i="7" s="1"/>
  <c r="H5" i="9"/>
  <c r="R6" i="7" s="1"/>
  <c r="H3" i="9"/>
  <c r="R4" i="7" s="1"/>
  <c r="K6" i="8"/>
  <c r="K8" i="8"/>
  <c r="L34" i="2"/>
  <c r="L31" i="2"/>
  <c r="L30" i="2"/>
  <c r="L33" i="2" s="1"/>
  <c r="K30" i="2"/>
  <c r="K33" i="2" s="1"/>
  <c r="AK10" i="1" l="1"/>
  <c r="P13" i="7"/>
  <c r="AQ10" i="1"/>
  <c r="M15" i="7"/>
  <c r="AX19" i="1"/>
  <c r="AY19" i="1" s="1"/>
  <c r="M16" i="7"/>
  <c r="Q16" i="7" s="1"/>
  <c r="Q28" i="7" s="1"/>
  <c r="P18" i="7"/>
  <c r="AP19" i="1"/>
  <c r="AX28" i="1"/>
  <c r="AY28" i="1" s="1"/>
  <c r="M13" i="7"/>
  <c r="Q13" i="7" s="1"/>
  <c r="Q25" i="7" s="1"/>
  <c r="Q18" i="7"/>
  <c r="Q30" i="7" s="1"/>
  <c r="Q15" i="7"/>
  <c r="M17" i="7"/>
  <c r="AX25" i="1"/>
  <c r="AY25" i="1" s="1"/>
  <c r="AX26" i="1"/>
  <c r="AY26" i="1" s="1"/>
  <c r="M14" i="7"/>
  <c r="Q14" i="7" s="1"/>
  <c r="Q26" i="7" s="1"/>
  <c r="Q17" i="7"/>
  <c r="Q29" i="7" s="1"/>
  <c r="Q27" i="7"/>
  <c r="B11" i="7"/>
  <c r="D11" i="7" s="1"/>
  <c r="M12" i="7"/>
  <c r="Q12" i="7" s="1"/>
  <c r="Q24" i="7" s="1"/>
  <c r="AP26" i="1"/>
  <c r="AP28" i="1"/>
  <c r="AP25" i="1"/>
  <c r="H4" i="7"/>
  <c r="J4" i="7" s="1"/>
  <c r="N9" i="7"/>
  <c r="P9" i="7" s="1"/>
  <c r="B6" i="7"/>
  <c r="D6" i="7" s="1"/>
  <c r="N7" i="7"/>
  <c r="P7" i="7" s="1"/>
  <c r="B9" i="7"/>
  <c r="D9" i="7" s="1"/>
  <c r="K11" i="7"/>
  <c r="M11" i="7" s="1"/>
  <c r="N11" i="7"/>
  <c r="P11" i="7" s="1"/>
  <c r="N8" i="7"/>
  <c r="P8" i="7" s="1"/>
  <c r="B5" i="7"/>
  <c r="D5" i="7" s="1"/>
  <c r="K9" i="7"/>
  <c r="M9" i="7" s="1"/>
  <c r="H11" i="7"/>
  <c r="J11" i="7" s="1"/>
  <c r="AQ17" i="1"/>
  <c r="AK17" i="1"/>
  <c r="AE17" i="1"/>
  <c r="AF17" i="1" s="1"/>
  <c r="AW16" i="1"/>
  <c r="AO16" i="1"/>
  <c r="AQ15" i="1"/>
  <c r="AK15" i="1"/>
  <c r="AE15" i="1"/>
  <c r="AF15" i="1" s="1"/>
  <c r="AK16" i="1"/>
  <c r="AE16" i="1"/>
  <c r="AF16" i="1" s="1"/>
  <c r="AQ16" i="1"/>
  <c r="AW11" i="1"/>
  <c r="AO11" i="1"/>
  <c r="AK11" i="1"/>
  <c r="AE11" i="1"/>
  <c r="AF11" i="1" s="1"/>
  <c r="AQ11" i="1"/>
  <c r="AQ12" i="1"/>
  <c r="AK12" i="1"/>
  <c r="AE12" i="1"/>
  <c r="AF12" i="1" s="1"/>
  <c r="AW14" i="1"/>
  <c r="AO14" i="1"/>
  <c r="AN10" i="1"/>
  <c r="AP10" i="1" s="1"/>
  <c r="AM10" i="1"/>
  <c r="AR10" i="1" s="1"/>
  <c r="AV10" i="1"/>
  <c r="AX10" i="1" s="1"/>
  <c r="AY10" i="1" s="1"/>
  <c r="AQ14" i="1"/>
  <c r="AK14" i="1"/>
  <c r="AE14" i="1"/>
  <c r="AF14" i="1" s="1"/>
  <c r="AW12" i="1"/>
  <c r="AO12" i="1"/>
  <c r="AO13" i="1"/>
  <c r="AW13" i="1"/>
  <c r="AW17" i="1"/>
  <c r="AO17" i="1"/>
  <c r="AK13" i="1"/>
  <c r="AE13" i="1"/>
  <c r="AF13" i="1" s="1"/>
  <c r="AQ13" i="1"/>
  <c r="AO15" i="1"/>
  <c r="AW15" i="1"/>
  <c r="K7" i="7"/>
  <c r="M7" i="7" s="1"/>
  <c r="M8" i="7"/>
  <c r="H7" i="7"/>
  <c r="J7" i="7" s="1"/>
  <c r="B7" i="7"/>
  <c r="D7" i="7" s="1"/>
  <c r="B8" i="7"/>
  <c r="D8" i="7" s="1"/>
  <c r="B4" i="7"/>
  <c r="D4" i="7" s="1"/>
  <c r="H8" i="7"/>
  <c r="J8" i="7" s="1"/>
  <c r="N6" i="7"/>
  <c r="P6" i="7" s="1"/>
  <c r="K6" i="7"/>
  <c r="M6" i="7" s="1"/>
  <c r="N5" i="7"/>
  <c r="P5" i="7" s="1"/>
  <c r="K5" i="7"/>
  <c r="M5" i="7" s="1"/>
  <c r="H5" i="7"/>
  <c r="J5" i="7" s="1"/>
  <c r="H6" i="7"/>
  <c r="J6" i="7" s="1"/>
  <c r="N4" i="7"/>
  <c r="P4" i="7" s="1"/>
  <c r="K4" i="7"/>
  <c r="M4" i="7" s="1"/>
  <c r="AS3" i="1"/>
  <c r="AU3" i="1" s="1"/>
  <c r="AS4" i="1"/>
  <c r="AU4" i="1" s="1"/>
  <c r="AS5" i="1"/>
  <c r="AU5" i="1" s="1"/>
  <c r="AS6" i="1"/>
  <c r="AU6" i="1" s="1"/>
  <c r="AS7" i="1"/>
  <c r="AU7" i="1" s="1"/>
  <c r="AS8" i="1"/>
  <c r="AU8" i="1" s="1"/>
  <c r="Q9" i="7" l="1"/>
  <c r="Q38" i="7" s="1"/>
  <c r="Q6" i="7"/>
  <c r="Q35" i="7" s="1"/>
  <c r="Q4" i="7"/>
  <c r="Q33" i="7" s="1"/>
  <c r="Q8" i="7"/>
  <c r="Q37" i="7" s="1"/>
  <c r="Q7" i="7"/>
  <c r="Q36" i="7" s="1"/>
  <c r="Q5" i="7"/>
  <c r="Q34" i="7" s="1"/>
  <c r="Q11" i="7"/>
  <c r="Q23" i="7" s="1"/>
  <c r="AV12" i="1"/>
  <c r="AN12" i="1"/>
  <c r="AP12" i="1" s="1"/>
  <c r="AM12" i="1"/>
  <c r="AR12" i="1" s="1"/>
  <c r="AX12" i="1"/>
  <c r="AY12" i="1" s="1"/>
  <c r="AV11" i="1"/>
  <c r="AN11" i="1"/>
  <c r="AP11" i="1" s="1"/>
  <c r="AM11" i="1"/>
  <c r="AR11" i="1"/>
  <c r="AX11" i="1"/>
  <c r="AY11" i="1" s="1"/>
  <c r="AN13" i="1"/>
  <c r="AP13" i="1" s="1"/>
  <c r="AM13" i="1"/>
  <c r="AV13" i="1"/>
  <c r="AX13" i="1" s="1"/>
  <c r="AY13" i="1" s="1"/>
  <c r="AR13" i="1"/>
  <c r="AV16" i="1"/>
  <c r="AX16" i="1" s="1"/>
  <c r="AY16" i="1" s="1"/>
  <c r="AN16" i="1"/>
  <c r="AP16" i="1" s="1"/>
  <c r="AM16" i="1"/>
  <c r="AR16" i="1" s="1"/>
  <c r="AV14" i="1"/>
  <c r="AN14" i="1"/>
  <c r="AP14" i="1" s="1"/>
  <c r="AM14" i="1"/>
  <c r="AR14" i="1" s="1"/>
  <c r="AN15" i="1"/>
  <c r="AP15" i="1" s="1"/>
  <c r="AM15" i="1"/>
  <c r="AR15" i="1" s="1"/>
  <c r="AV15" i="1"/>
  <c r="AX14" i="1"/>
  <c r="AY14" i="1" s="1"/>
  <c r="AX15" i="1"/>
  <c r="AY15" i="1" s="1"/>
  <c r="AV17" i="1"/>
  <c r="AM17" i="1"/>
  <c r="AR17" i="1" s="1"/>
  <c r="AN17" i="1"/>
  <c r="AP17" i="1" s="1"/>
  <c r="AX17" i="1"/>
  <c r="AY17" i="1" s="1"/>
  <c r="H4" i="5"/>
  <c r="H5" i="5"/>
  <c r="H6" i="5"/>
  <c r="H7" i="5"/>
  <c r="H8" i="5"/>
  <c r="H3" i="5"/>
  <c r="F4" i="5"/>
  <c r="F5" i="5"/>
  <c r="F6" i="5"/>
  <c r="F7" i="5"/>
  <c r="F8" i="5"/>
  <c r="C20" i="5"/>
  <c r="C8" i="5"/>
  <c r="C7" i="5"/>
  <c r="C6" i="5"/>
  <c r="C5" i="5"/>
  <c r="C4" i="5"/>
  <c r="C3" i="5"/>
  <c r="C11" i="5" l="1"/>
  <c r="C17" i="5" s="1"/>
  <c r="G4" i="5" l="1"/>
  <c r="J8" i="5"/>
  <c r="J6" i="5" l="1"/>
  <c r="J7" i="5"/>
  <c r="J5" i="5"/>
  <c r="J3" i="5"/>
  <c r="J4" i="5"/>
  <c r="H4" i="2" l="1"/>
  <c r="H5" i="2"/>
  <c r="H6" i="2"/>
  <c r="H7" i="2"/>
  <c r="H8" i="2"/>
  <c r="H3" i="2"/>
  <c r="G4" i="2"/>
  <c r="G5" i="2"/>
  <c r="G6" i="2"/>
  <c r="G7" i="2"/>
  <c r="G8" i="2"/>
  <c r="G3" i="2"/>
  <c r="E4" i="2"/>
  <c r="E5" i="2"/>
  <c r="E6" i="2"/>
  <c r="E7" i="2"/>
  <c r="E8" i="2"/>
  <c r="E3" i="2"/>
  <c r="L8" i="1" l="1"/>
  <c r="Q8" i="1" s="1"/>
  <c r="K8" i="1"/>
  <c r="P8" i="1" s="1"/>
  <c r="L7" i="1"/>
  <c r="Q7" i="1" s="1"/>
  <c r="K7" i="1"/>
  <c r="P7" i="1" s="1"/>
  <c r="L6" i="1"/>
  <c r="Q6" i="1" s="1"/>
  <c r="K6" i="1"/>
  <c r="P6" i="1" s="1"/>
  <c r="L5" i="1"/>
  <c r="Q5" i="1" s="1"/>
  <c r="K5" i="1"/>
  <c r="P5" i="1" s="1"/>
  <c r="L4" i="1"/>
  <c r="Q4" i="1" s="1"/>
  <c r="K4" i="1"/>
  <c r="P4" i="1" s="1"/>
  <c r="L3" i="1"/>
  <c r="Q3" i="1" s="1"/>
  <c r="K3" i="1"/>
  <c r="P3" i="1" s="1"/>
  <c r="E8" i="1"/>
  <c r="D8" i="1" s="1"/>
  <c r="E7" i="1"/>
  <c r="D7" i="1" s="1"/>
  <c r="E6" i="1"/>
  <c r="D6" i="1" s="1"/>
  <c r="E5" i="1"/>
  <c r="D5" i="1" s="1"/>
  <c r="E4" i="1"/>
  <c r="D4" i="1" s="1"/>
  <c r="E3" i="1"/>
  <c r="D3" i="1" s="1"/>
  <c r="R6" i="1" l="1"/>
  <c r="V6" i="1" s="1"/>
  <c r="U6" i="1"/>
  <c r="R3" i="1"/>
  <c r="U3" i="1"/>
  <c r="V3" i="1"/>
  <c r="R4" i="1"/>
  <c r="V4" i="1" s="1"/>
  <c r="U4" i="1"/>
  <c r="R5" i="1"/>
  <c r="U5" i="1"/>
  <c r="V5" i="1"/>
  <c r="U7" i="1"/>
  <c r="R7" i="1"/>
  <c r="V7" i="1" s="1"/>
  <c r="R8" i="1"/>
  <c r="U8" i="1"/>
  <c r="V8" i="1"/>
  <c r="W3" i="1"/>
  <c r="AC3" i="1" s="1"/>
  <c r="AB3" i="1"/>
  <c r="AL3" i="1" s="1"/>
  <c r="W4" i="1"/>
  <c r="AC4" i="1" s="1"/>
  <c r="AB4" i="1"/>
  <c r="AL4" i="1" s="1"/>
  <c r="W5" i="1"/>
  <c r="AC5" i="1" s="1"/>
  <c r="AB5" i="1"/>
  <c r="AL5" i="1" s="1"/>
  <c r="AB6" i="1"/>
  <c r="AL6" i="1" s="1"/>
  <c r="W6" i="1"/>
  <c r="AC6" i="1"/>
  <c r="W7" i="1"/>
  <c r="AC7" i="1" s="1"/>
  <c r="AB7" i="1"/>
  <c r="AL7" i="1" s="1"/>
  <c r="W8" i="1"/>
  <c r="AC8" i="1" s="1"/>
  <c r="AB8" i="1"/>
  <c r="AL8" i="1" s="1"/>
  <c r="AO8" i="1" l="1"/>
  <c r="AW8" i="1"/>
  <c r="AQ7" i="1"/>
  <c r="AE7" i="1"/>
  <c r="AF7" i="1" s="1"/>
  <c r="D7" i="2" s="1"/>
  <c r="AK7" i="1"/>
  <c r="AW6" i="1"/>
  <c r="AO6" i="1"/>
  <c r="AW4" i="1"/>
  <c r="AO4" i="1"/>
  <c r="AQ6" i="1"/>
  <c r="O6" i="2" s="1"/>
  <c r="AE6" i="1"/>
  <c r="AF6" i="1" s="1"/>
  <c r="D6" i="2" s="1"/>
  <c r="AK6" i="1"/>
  <c r="AW3" i="1"/>
  <c r="AO3" i="1"/>
  <c r="AQ8" i="1"/>
  <c r="AE8" i="1"/>
  <c r="AF8" i="1" s="1"/>
  <c r="D8" i="2" s="1"/>
  <c r="AK8" i="1"/>
  <c r="AO7" i="1"/>
  <c r="AW7" i="1"/>
  <c r="AW5" i="1"/>
  <c r="AO5" i="1"/>
  <c r="AQ5" i="1"/>
  <c r="B5" i="2" s="1"/>
  <c r="AE5" i="1"/>
  <c r="AF5" i="1" s="1"/>
  <c r="D5" i="2" s="1"/>
  <c r="AK5" i="1"/>
  <c r="AQ4" i="1"/>
  <c r="AE4" i="1"/>
  <c r="AF4" i="1" s="1"/>
  <c r="I4" i="2" s="1"/>
  <c r="AK4" i="1"/>
  <c r="AE3" i="1"/>
  <c r="AF3" i="1" s="1"/>
  <c r="D3" i="2" s="1"/>
  <c r="AK3" i="1"/>
  <c r="AQ3" i="1"/>
  <c r="U5" i="2"/>
  <c r="V5" i="2" s="1"/>
  <c r="U4" i="2"/>
  <c r="V4" i="2" s="1"/>
  <c r="B6" i="2"/>
  <c r="J6" i="2"/>
  <c r="I7" i="2"/>
  <c r="P7" i="2" s="1"/>
  <c r="U7" i="2"/>
  <c r="V7" i="2" s="1"/>
  <c r="I5" i="2"/>
  <c r="F6" i="2" l="1"/>
  <c r="K6" i="2" s="1"/>
  <c r="I3" i="2"/>
  <c r="O7" i="2"/>
  <c r="C7" i="2"/>
  <c r="B7" i="2"/>
  <c r="D4" i="2"/>
  <c r="F7" i="2"/>
  <c r="P5" i="2"/>
  <c r="F5" i="2"/>
  <c r="C5" i="2"/>
  <c r="M5" i="2" s="1"/>
  <c r="I6" i="2"/>
  <c r="P6" i="2" s="1"/>
  <c r="O5" i="2"/>
  <c r="C8" i="2"/>
  <c r="U8" i="2"/>
  <c r="V8" i="2" s="1"/>
  <c r="F4" i="2"/>
  <c r="AM8" i="1"/>
  <c r="AR8" i="1" s="1"/>
  <c r="AV8" i="1"/>
  <c r="AX8" i="1" s="1"/>
  <c r="AY8" i="1" s="1"/>
  <c r="AN8" i="1"/>
  <c r="AP8" i="1" s="1"/>
  <c r="R8" i="2" s="1"/>
  <c r="C3" i="2"/>
  <c r="B3" i="2"/>
  <c r="AM6" i="1"/>
  <c r="AR6" i="1" s="1"/>
  <c r="AN6" i="1"/>
  <c r="AV6" i="1"/>
  <c r="AX6" i="1" s="1"/>
  <c r="AY6" i="1" s="1"/>
  <c r="U3" i="2"/>
  <c r="V3" i="2" s="1"/>
  <c r="F3" i="2"/>
  <c r="B8" i="2"/>
  <c r="AV3" i="1"/>
  <c r="AX3" i="1" s="1"/>
  <c r="AY3" i="1" s="1"/>
  <c r="AM3" i="1"/>
  <c r="AN3" i="1"/>
  <c r="AP3" i="1" s="1"/>
  <c r="AR3" i="1"/>
  <c r="F8" i="2"/>
  <c r="AV4" i="1"/>
  <c r="AX4" i="1" s="1"/>
  <c r="AY4" i="1" s="1"/>
  <c r="AN4" i="1"/>
  <c r="AP4" i="1" s="1"/>
  <c r="AM4" i="1"/>
  <c r="AR4" i="1" s="1"/>
  <c r="I8" i="2"/>
  <c r="P8" i="2" s="1"/>
  <c r="AM7" i="1"/>
  <c r="AR7" i="1" s="1"/>
  <c r="AN7" i="1"/>
  <c r="AP7" i="1" s="1"/>
  <c r="R7" i="2" s="1"/>
  <c r="S7" i="2" s="1"/>
  <c r="AV7" i="1"/>
  <c r="AX7" i="1" s="1"/>
  <c r="AY7" i="1" s="1"/>
  <c r="C4" i="2"/>
  <c r="AV5" i="1"/>
  <c r="AX5" i="1" s="1"/>
  <c r="AY5" i="1" s="1"/>
  <c r="AN5" i="1"/>
  <c r="AM5" i="1"/>
  <c r="AR5" i="1"/>
  <c r="C6" i="2"/>
  <c r="U6" i="2"/>
  <c r="V6" i="2" s="1"/>
  <c r="B4" i="2"/>
  <c r="L3" i="2" l="1"/>
  <c r="M4" i="2"/>
  <c r="W5" i="2"/>
  <c r="X5" i="2" s="1"/>
  <c r="Y5" i="2" s="1"/>
  <c r="Z5" i="2" s="1"/>
  <c r="N5" i="2"/>
  <c r="L4" i="2"/>
  <c r="L8" i="2"/>
  <c r="S8" i="2"/>
  <c r="W3" i="2"/>
  <c r="X3" i="2" s="1"/>
  <c r="Y3" i="2" s="1"/>
  <c r="W8" i="2"/>
  <c r="X8" i="2" s="1"/>
  <c r="Y8" i="2" s="1"/>
  <c r="W4" i="2"/>
  <c r="X4" i="2" s="1"/>
  <c r="Y4" i="2" s="1"/>
  <c r="N7" i="2"/>
  <c r="AP6" i="1"/>
  <c r="Q6" i="2" s="1"/>
  <c r="N6" i="2"/>
  <c r="W6" i="2"/>
  <c r="X6" i="2" s="1"/>
  <c r="Y6" i="2" s="1"/>
  <c r="W7" i="2"/>
  <c r="X7" i="2" s="1"/>
  <c r="Y7" i="2" s="1"/>
  <c r="N8" i="2"/>
  <c r="AP5" i="1"/>
  <c r="L5" i="2" s="1"/>
  <c r="R3" i="2"/>
  <c r="S3" i="2" s="1"/>
  <c r="Q8" i="2"/>
  <c r="T7" i="2"/>
  <c r="Q7" i="2"/>
  <c r="R4" i="2"/>
  <c r="S4" i="2" s="1"/>
  <c r="T8" i="2"/>
  <c r="L6" i="2" l="1"/>
  <c r="R5" i="2"/>
  <c r="T5" i="2"/>
  <c r="Q5" i="2"/>
  <c r="R6" i="2"/>
</calcChain>
</file>

<file path=xl/sharedStrings.xml><?xml version="1.0" encoding="utf-8"?>
<sst xmlns="http://schemas.openxmlformats.org/spreadsheetml/2006/main" count="326" uniqueCount="206">
  <si>
    <t>Código .txt</t>
  </si>
  <si>
    <t>Matriz Experimental</t>
  </si>
  <si>
    <t>Points</t>
  </si>
  <si>
    <t>beta</t>
  </si>
  <si>
    <t>J</t>
  </si>
  <si>
    <t>J-SG</t>
  </si>
  <si>
    <t>J-SL</t>
  </si>
  <si>
    <t>P2 (bar)</t>
  </si>
  <si>
    <t>T2 (°C)</t>
  </si>
  <si>
    <t>QG_2 (m3/h)</t>
  </si>
  <si>
    <t>QL (m3/h)</t>
  </si>
  <si>
    <t>Na linha</t>
  </si>
  <si>
    <t>P1 (bar)</t>
  </si>
  <si>
    <t>T1 (°C)</t>
  </si>
  <si>
    <t>QG_1 (m3/h)</t>
  </si>
  <si>
    <t>AR_linha</t>
  </si>
  <si>
    <t>D_linha (pol.)</t>
  </si>
  <si>
    <t>rho_G (kg/m3)</t>
  </si>
  <si>
    <t>mu_G (Pa s)</t>
  </si>
  <si>
    <t>m_G (kg/h)</t>
  </si>
  <si>
    <t>v_G (m/s)</t>
  </si>
  <si>
    <t>ÁGUA_linha</t>
  </si>
  <si>
    <t>rho_L (kg/m3)</t>
  </si>
  <si>
    <t>mu_L (Pa s)</t>
  </si>
  <si>
    <t>m_L (kg/h)</t>
  </si>
  <si>
    <t>v_L (m/s)</t>
  </si>
  <si>
    <t>BIFÁSICO_mesa</t>
  </si>
  <si>
    <t>D_mesa (m)</t>
  </si>
  <si>
    <t>m_bif (kg/h)</t>
  </si>
  <si>
    <t>G_bif (kg/h m2)</t>
  </si>
  <si>
    <t>Q_G (m3/h)</t>
  </si>
  <si>
    <t>Q_L (m3/h)</t>
  </si>
  <si>
    <t>Q_bif (m3/h)</t>
  </si>
  <si>
    <t>j_G (m/s)</t>
  </si>
  <si>
    <t>j_L (m/s)</t>
  </si>
  <si>
    <t>J_total (m/s)</t>
  </si>
  <si>
    <t>x (-)</t>
  </si>
  <si>
    <t>beta (-)</t>
  </si>
  <si>
    <t>Dh (m)</t>
  </si>
  <si>
    <t>Sigma (N/m)</t>
  </si>
  <si>
    <t>C0 (-)*</t>
  </si>
  <si>
    <t>V_2j (m/s)*</t>
  </si>
  <si>
    <t>C0 (-)**</t>
  </si>
  <si>
    <t>V_2j (m/s)**</t>
  </si>
  <si>
    <t>X_tt</t>
  </si>
  <si>
    <t>n***</t>
  </si>
  <si>
    <t>h***</t>
  </si>
  <si>
    <t>Fr</t>
  </si>
  <si>
    <t>Alpha (Eq.1)</t>
  </si>
  <si>
    <t>Alpha (Eq.3)</t>
  </si>
  <si>
    <t>Alpha (Eq.5)</t>
  </si>
  <si>
    <t>Na mesa (teórico)</t>
  </si>
  <si>
    <t>Alpha (Eq.7)</t>
  </si>
  <si>
    <t>Alpha (Eq.8)</t>
  </si>
  <si>
    <t>Alpha (Eq.10)</t>
  </si>
  <si>
    <t>Alpha (Kanizawa)</t>
  </si>
  <si>
    <t>*Eq. (5 e 6)</t>
  </si>
  <si>
    <t>**Eq. (7)</t>
  </si>
  <si>
    <t>***Eq. (10)</t>
  </si>
  <si>
    <t>Alpha (Toshiba)</t>
  </si>
  <si>
    <t>Fr2</t>
  </si>
  <si>
    <t>Alpha (Guzhov et al.)</t>
  </si>
  <si>
    <t>Alpha (Hughmark)</t>
  </si>
  <si>
    <t>Re_bif</t>
  </si>
  <si>
    <t>L</t>
  </si>
  <si>
    <t>X</t>
  </si>
  <si>
    <t>R</t>
  </si>
  <si>
    <t>E_L</t>
  </si>
  <si>
    <t>Alpha (Abdulmajeed)</t>
  </si>
  <si>
    <t>Condição</t>
  </si>
  <si>
    <t>Re_G</t>
  </si>
  <si>
    <t>Re_L</t>
  </si>
  <si>
    <t>f_tp</t>
  </si>
  <si>
    <t>e (mm)</t>
  </si>
  <si>
    <t>Re_m</t>
  </si>
  <si>
    <t>u_est</t>
  </si>
  <si>
    <t>u_flut</t>
  </si>
  <si>
    <t>u_geom</t>
  </si>
  <si>
    <t>u_sist</t>
  </si>
  <si>
    <t>u_inc</t>
  </si>
  <si>
    <t>u_total</t>
  </si>
  <si>
    <t>E (keV)</t>
  </si>
  <si>
    <t>Termos Polinômio</t>
  </si>
  <si>
    <t>mu_água (m2/kg)</t>
  </si>
  <si>
    <t>rho (kg/m3)</t>
  </si>
  <si>
    <t>Gamma (1/m)</t>
  </si>
  <si>
    <t>R (m)</t>
  </si>
  <si>
    <t>OK</t>
  </si>
  <si>
    <t>Abdulmajeed (1996)</t>
  </si>
  <si>
    <t>Hughmark (1965)</t>
  </si>
  <si>
    <t>Guzhov et al. (1967)</t>
  </si>
  <si>
    <t>Kanizawa e Ribatski (2015)</t>
  </si>
  <si>
    <t>Zivi (1964)</t>
  </si>
  <si>
    <t>Lockhart e Martinelli (1949)</t>
  </si>
  <si>
    <t>Zuber e Findlay (1965)</t>
  </si>
  <si>
    <t>Rouhani e Axelsson (1970)</t>
  </si>
  <si>
    <t>Woldesemayat e Ghajar (2007)</t>
  </si>
  <si>
    <t>Cioncolini e Thome (2012)</t>
  </si>
  <si>
    <t>MODELO</t>
  </si>
  <si>
    <t>Abdul-Majeed (1996)</t>
  </si>
  <si>
    <t>Dh* (-)</t>
  </si>
  <si>
    <t>ID10_L010_G088_repetido</t>
  </si>
  <si>
    <t>ID11_L025_G058_repetido</t>
  </si>
  <si>
    <t>ID12_L166_G646_repetido2</t>
  </si>
  <si>
    <t>ID13_L01_G1844</t>
  </si>
  <si>
    <t>ID14_L02_G374</t>
  </si>
  <si>
    <t>ID15_L117_G176_repetido</t>
  </si>
  <si>
    <t>Padrão de Escoamento</t>
  </si>
  <si>
    <t>Estratificado</t>
  </si>
  <si>
    <t>Bolhas alongadas</t>
  </si>
  <si>
    <t>Pistonado severo</t>
  </si>
  <si>
    <t>Anular</t>
  </si>
  <si>
    <t>Pistonado</t>
  </si>
  <si>
    <t>Toshiba (1989)</t>
  </si>
  <si>
    <t>Alpha (-)</t>
  </si>
  <si>
    <t>I_G</t>
  </si>
  <si>
    <t>I_L</t>
  </si>
  <si>
    <t>I_médio</t>
  </si>
  <si>
    <t>S</t>
  </si>
  <si>
    <t>I_alpha</t>
  </si>
  <si>
    <t>Termo 2 (Comprimento)</t>
  </si>
  <si>
    <t>Termo 3 (Fração de Vazio)</t>
  </si>
  <si>
    <t>Termo 4 (Densidade da água)</t>
  </si>
  <si>
    <t>Termo 5 (Densidade do ar)</t>
  </si>
  <si>
    <t>Incerteza TOTAL</t>
  </si>
  <si>
    <t>Constante</t>
  </si>
  <si>
    <t>Incerteza Relativa</t>
  </si>
  <si>
    <t>(Cte*Inc.Rel.)^2</t>
  </si>
  <si>
    <t>(Pa/m)</t>
  </si>
  <si>
    <t>dP/dz (Pa/m)</t>
  </si>
  <si>
    <r>
      <t>u</t>
    </r>
    <r>
      <rPr>
        <b/>
        <vertAlign val="subscript"/>
        <sz val="11"/>
        <color theme="1"/>
        <rFont val="Calibri"/>
        <family val="2"/>
        <scheme val="minor"/>
      </rPr>
      <t>D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</si>
  <si>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>L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</si>
  <si>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>T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</si>
  <si>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>P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</si>
  <si>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>J-SL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</si>
  <si>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>J-SG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</si>
  <si>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>rhoG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</si>
  <si>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>dP/dz_mono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</si>
  <si>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>dP/dz_bif</t>
    </r>
  </si>
  <si>
    <t>Leitura mínima da trena</t>
  </si>
  <si>
    <t>mm</t>
  </si>
  <si>
    <t>Leitura mínima do paquímetro</t>
  </si>
  <si>
    <t>Experimental</t>
  </si>
  <si>
    <t>L (m)</t>
  </si>
  <si>
    <r>
      <t>ΔP</t>
    </r>
    <r>
      <rPr>
        <b/>
        <vertAlign val="subscript"/>
        <sz val="11"/>
        <rFont val="Calibri"/>
        <family val="2"/>
        <scheme val="minor"/>
      </rPr>
      <t>EXP</t>
    </r>
    <r>
      <rPr>
        <b/>
        <sz val="11"/>
        <rFont val="Calibri"/>
        <family val="2"/>
        <scheme val="minor"/>
      </rPr>
      <t xml:space="preserve"> (Pa)</t>
    </r>
  </si>
  <si>
    <t>rho_mist</t>
  </si>
  <si>
    <t>Inclinação (º)</t>
  </si>
  <si>
    <t>ΔP_sensor (Pa/m)</t>
  </si>
  <si>
    <t>ΔP_gravit (Pa/m)</t>
  </si>
  <si>
    <t>dP/dz_friccional (Pa/m)</t>
  </si>
  <si>
    <t>A</t>
  </si>
  <si>
    <t>Indique a temperatura de trabalho</t>
  </si>
  <si>
    <t>B</t>
  </si>
  <si>
    <t>Indique a densidade à temperatura de trabalho</t>
  </si>
  <si>
    <t>C</t>
  </si>
  <si>
    <t>Temperatura de trabalho +1°C</t>
  </si>
  <si>
    <t>D</t>
  </si>
  <si>
    <t>Temperatura de trabalho -1°C</t>
  </si>
  <si>
    <t>E</t>
  </si>
  <si>
    <t>Densidade à temperatura de trabalho +1°C</t>
  </si>
  <si>
    <t>F</t>
  </si>
  <si>
    <r>
      <t>u</t>
    </r>
    <r>
      <rPr>
        <b/>
        <vertAlign val="subscript"/>
        <sz val="11"/>
        <color theme="1"/>
        <rFont val="Calibri"/>
        <family val="2"/>
        <scheme val="minor"/>
      </rPr>
      <t>ρ</t>
    </r>
    <r>
      <rPr>
        <b/>
        <sz val="11"/>
        <color theme="1"/>
        <rFont val="Calibri"/>
        <family val="2"/>
        <scheme val="minor"/>
      </rPr>
      <t>*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</si>
  <si>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>ρ</t>
    </r>
  </si>
  <si>
    <t>H</t>
  </si>
  <si>
    <t>I</t>
  </si>
  <si>
    <t>K</t>
  </si>
  <si>
    <t>M</t>
  </si>
  <si>
    <r>
      <t>u</t>
    </r>
    <r>
      <rPr>
        <b/>
        <vertAlign val="subscript"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</rPr>
      <t>*</t>
    </r>
  </si>
  <si>
    <r>
      <t>u</t>
    </r>
    <r>
      <rPr>
        <b/>
        <vertAlign val="subscript"/>
        <sz val="11"/>
        <color theme="1"/>
        <rFont val="Calibri"/>
        <family val="2"/>
      </rPr>
      <t>µ</t>
    </r>
  </si>
  <si>
    <t>Densidade à temperatura de trabalho -1°C</t>
  </si>
  <si>
    <t>G</t>
  </si>
  <si>
    <r>
      <t>Incerteza da medição de temperatura (</t>
    </r>
    <r>
      <rPr>
        <sz val="11"/>
        <color theme="1"/>
        <rFont val="Calibri"/>
        <family val="2"/>
      </rPr>
      <t>±δT)</t>
    </r>
  </si>
  <si>
    <t>Indique a viscosidade à temperatura de trabalho</t>
  </si>
  <si>
    <t>Viscosidade à temperatura de trabalho +1°C</t>
  </si>
  <si>
    <t>Viscosidade à temperatura de trabalho -1°C</t>
  </si>
  <si>
    <t>N</t>
  </si>
  <si>
    <t>Incerteza dos dados tabulados</t>
  </si>
  <si>
    <t>P (bar)</t>
  </si>
  <si>
    <t>T (°C)</t>
  </si>
  <si>
    <t>ID22</t>
  </si>
  <si>
    <t>Bolhas</t>
  </si>
  <si>
    <t>ID23</t>
  </si>
  <si>
    <t>ID24</t>
  </si>
  <si>
    <t>ID25 o ID29</t>
  </si>
  <si>
    <t>ID26</t>
  </si>
  <si>
    <t>ID27</t>
  </si>
  <si>
    <t>ID28</t>
  </si>
  <si>
    <t>ID30</t>
  </si>
  <si>
    <r>
      <t>u</t>
    </r>
    <r>
      <rPr>
        <b/>
        <vertAlign val="subscript"/>
        <sz val="11"/>
        <color rgb="FFFFFF00"/>
        <rFont val="Calibri"/>
        <family val="2"/>
        <scheme val="minor"/>
      </rPr>
      <t>QL</t>
    </r>
  </si>
  <si>
    <r>
      <t>u</t>
    </r>
    <r>
      <rPr>
        <b/>
        <vertAlign val="subscript"/>
        <sz val="11"/>
        <color rgb="FFFFFF00"/>
        <rFont val="Calibri"/>
        <family val="2"/>
        <scheme val="minor"/>
      </rPr>
      <t>QG</t>
    </r>
  </si>
  <si>
    <t>Termo 1 (dP_sensor/L)</t>
  </si>
  <si>
    <t>ID</t>
  </si>
  <si>
    <t>25 ou 29</t>
  </si>
  <si>
    <t>u_dP/dz (Pa/m)</t>
  </si>
  <si>
    <t>ID31</t>
  </si>
  <si>
    <t>ID32</t>
  </si>
  <si>
    <t>ID33</t>
  </si>
  <si>
    <t>ID34</t>
  </si>
  <si>
    <t>ID35</t>
  </si>
  <si>
    <t>ID36</t>
  </si>
  <si>
    <t>ID37</t>
  </si>
  <si>
    <t>IDPE4</t>
  </si>
  <si>
    <t>IDPE5</t>
  </si>
  <si>
    <t>IPDE3_L050_G010</t>
  </si>
  <si>
    <t>Alpha (Shi et al., 2021)</t>
  </si>
  <si>
    <t>±10%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</si>
</sst>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vertAlign val="subscript"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FF00"/>
      <name val="Calibri"/>
      <family val="2"/>
      <scheme val="minor"/>
    </font>
    <font>
      <b/>
      <vertAlign val="subscript"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7" borderId="4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6" borderId="0" xfId="0" applyFont="1" applyFill="1" applyAlignment="1">
      <alignment horizontal="center"/>
    </xf>
    <xf numFmtId="2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1" fillId="0" borderId="0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8" borderId="2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0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5" fillId="0" borderId="12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/>
    <xf numFmtId="0" fontId="14" fillId="14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1" xfId="0" applyFont="1" applyBorder="1"/>
    <xf numFmtId="2" fontId="6" fillId="0" borderId="2" xfId="0" applyNumberFormat="1" applyFont="1" applyBorder="1" applyAlignment="1">
      <alignment horizontal="center"/>
    </xf>
    <xf numFmtId="0" fontId="6" fillId="8" borderId="1" xfId="0" applyFont="1" applyFill="1" applyBorder="1"/>
    <xf numFmtId="0" fontId="0" fillId="0" borderId="0" xfId="0" applyAlignment="1">
      <alignment horizontal="center"/>
    </xf>
    <xf numFmtId="0" fontId="11" fillId="0" borderId="0" xfId="0" applyFont="1"/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left"/>
    </xf>
    <xf numFmtId="0" fontId="12" fillId="14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11" borderId="9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'Base de Dados'!$BK$5:$BK$6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'Base de Dados'!$BK$5:$BK$6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'Base de Dados'!$BL$5:$BL$6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B8-4577-AD03-D8AA2E3FD22A}"/>
            </c:ext>
          </c:extLst>
        </c:ser>
        <c:ser>
          <c:idx val="1"/>
          <c:order val="1"/>
          <c:tx>
            <c:strRef>
              <c:f>'Base de Dados'!$BM$3</c:f>
              <c:strCache>
                <c:ptCount val="1"/>
                <c:pt idx="0">
                  <c:v>±10%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'Base de Dados'!$BK$8:$BK$9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'Base de Dados'!$BL$8:$BL$9</c:f>
              <c:numCache>
                <c:formatCode>General</c:formatCode>
                <c:ptCount val="2"/>
                <c:pt idx="0">
                  <c:v>0</c:v>
                </c:pt>
                <c:pt idx="1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B8-4577-AD03-D8AA2E3FD22A}"/>
            </c:ext>
          </c:extLst>
        </c:ser>
        <c:ser>
          <c:idx val="2"/>
          <c:order val="2"/>
          <c:tx>
            <c:strRef>
              <c:f>'Base de Dados'!$BM$3</c:f>
              <c:strCache>
                <c:ptCount val="1"/>
                <c:pt idx="0">
                  <c:v>±10%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'Base de Dados'!$BK$11:$BK$12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'Base de Dados'!$BL$11:$BL$12</c:f>
              <c:numCache>
                <c:formatCode>General</c:formatCode>
                <c:ptCount val="2"/>
                <c:pt idx="0">
                  <c:v>0</c:v>
                </c:pt>
                <c:pt idx="1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B8-4577-AD03-D8AA2E3FD22A}"/>
            </c:ext>
          </c:extLst>
        </c:ser>
        <c:ser>
          <c:idx val="3"/>
          <c:order val="3"/>
          <c:tx>
            <c:strRef>
              <c:f>'Base de Dados'!$AZ$19:$AZ$28</c:f>
              <c:strCache>
                <c:ptCount val="10"/>
                <c:pt idx="0">
                  <c:v>0.974202927</c:v>
                </c:pt>
                <c:pt idx="1">
                  <c:v>0.975760983</c:v>
                </c:pt>
                <c:pt idx="2">
                  <c:v>0.981429729</c:v>
                </c:pt>
                <c:pt idx="3">
                  <c:v>0.97629941</c:v>
                </c:pt>
                <c:pt idx="4">
                  <c:v>0.976620905</c:v>
                </c:pt>
                <c:pt idx="5">
                  <c:v>0.976379579</c:v>
                </c:pt>
                <c:pt idx="6">
                  <c:v>0.983623213</c:v>
                </c:pt>
                <c:pt idx="7">
                  <c:v>0.388798408</c:v>
                </c:pt>
                <c:pt idx="8">
                  <c:v>0.870119452</c:v>
                </c:pt>
                <c:pt idx="9">
                  <c:v>0.407791184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'Propag. Incertezas (alpha)'!$J$19:$J$28</c:f>
                <c:numCache>
                  <c:formatCode>General</c:formatCode>
                  <c:ptCount val="10"/>
                  <c:pt idx="0">
                    <c:v>1.554853930001184E-2</c:v>
                  </c:pt>
                  <c:pt idx="1">
                    <c:v>1.5543642284787778E-2</c:v>
                  </c:pt>
                  <c:pt idx="2">
                    <c:v>1.5525865124293802E-2</c:v>
                  </c:pt>
                  <c:pt idx="3">
                    <c:v>1.5541964715735605E-2</c:v>
                  </c:pt>
                  <c:pt idx="4">
                    <c:v>1.554095726218334E-2</c:v>
                  </c:pt>
                  <c:pt idx="5">
                    <c:v>1.5541715404587392E-2</c:v>
                  </c:pt>
                  <c:pt idx="6">
                    <c:v>1.551900982410603E-2</c:v>
                  </c:pt>
                  <c:pt idx="7">
                    <c:v>3.5554405038747364E-2</c:v>
                  </c:pt>
                  <c:pt idx="8">
                    <c:v>3.4756470432493629E-2</c:v>
                  </c:pt>
                  <c:pt idx="9">
                    <c:v>3.5517906541125646E-2</c:v>
                  </c:pt>
                </c:numCache>
              </c:numRef>
            </c:plus>
            <c:minus>
              <c:numRef>
                <c:f>'Propag. Incertezas (alpha)'!$J$19:$J$28</c:f>
                <c:numCache>
                  <c:formatCode>General</c:formatCode>
                  <c:ptCount val="10"/>
                  <c:pt idx="0">
                    <c:v>1.554853930001184E-2</c:v>
                  </c:pt>
                  <c:pt idx="1">
                    <c:v>1.5543642284787778E-2</c:v>
                  </c:pt>
                  <c:pt idx="2">
                    <c:v>1.5525865124293802E-2</c:v>
                  </c:pt>
                  <c:pt idx="3">
                    <c:v>1.5541964715735605E-2</c:v>
                  </c:pt>
                  <c:pt idx="4">
                    <c:v>1.554095726218334E-2</c:v>
                  </c:pt>
                  <c:pt idx="5">
                    <c:v>1.5541715404587392E-2</c:v>
                  </c:pt>
                  <c:pt idx="6">
                    <c:v>1.551900982410603E-2</c:v>
                  </c:pt>
                  <c:pt idx="7">
                    <c:v>3.5554405038747364E-2</c:v>
                  </c:pt>
                  <c:pt idx="8">
                    <c:v>3.4756470432493629E-2</c:v>
                  </c:pt>
                  <c:pt idx="9">
                    <c:v>3.5517906541125646E-2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'Base de Dados'!$AZ$19:$AZ$28</c:f>
              <c:numCache>
                <c:formatCode>General</c:formatCode>
                <c:ptCount val="10"/>
                <c:pt idx="0">
                  <c:v>0.97420292720074697</c:v>
                </c:pt>
                <c:pt idx="1">
                  <c:v>0.97576098261074196</c:v>
                </c:pt>
                <c:pt idx="2">
                  <c:v>0.98142972905409498</c:v>
                </c:pt>
                <c:pt idx="3">
                  <c:v>0.976299410387788</c:v>
                </c:pt>
                <c:pt idx="4">
                  <c:v>0.97662090510451205</c:v>
                </c:pt>
                <c:pt idx="5">
                  <c:v>0.97637957854809498</c:v>
                </c:pt>
                <c:pt idx="6">
                  <c:v>0.98362321264932095</c:v>
                </c:pt>
                <c:pt idx="7">
                  <c:v>0.388798407688626</c:v>
                </c:pt>
                <c:pt idx="8">
                  <c:v>0.87011945151150805</c:v>
                </c:pt>
                <c:pt idx="9">
                  <c:v>0.40779118394674901</c:v>
                </c:pt>
              </c:numCache>
            </c:numRef>
          </c:xVal>
          <c:yVal>
            <c:numRef>
              <c:f>'Base de Dados'!$BD$19:$BD$28</c:f>
              <c:numCache>
                <c:formatCode>General</c:formatCode>
                <c:ptCount val="10"/>
                <c:pt idx="0">
                  <c:v>0.34869105349162888</c:v>
                </c:pt>
                <c:pt idx="1">
                  <c:v>0.40975581195519711</c:v>
                </c:pt>
                <c:pt idx="2">
                  <c:v>0.19594403275165662</c:v>
                </c:pt>
                <c:pt idx="3">
                  <c:v>0.66728734229545217</c:v>
                </c:pt>
                <c:pt idx="4">
                  <c:v>0.7326520877023539</c:v>
                </c:pt>
                <c:pt idx="5">
                  <c:v>0.76185875487108368</c:v>
                </c:pt>
                <c:pt idx="6">
                  <c:v>0.88485454661957075</c:v>
                </c:pt>
                <c:pt idx="7">
                  <c:v>0.21965644078908822</c:v>
                </c:pt>
                <c:pt idx="8">
                  <c:v>0.76878135313898077</c:v>
                </c:pt>
                <c:pt idx="9">
                  <c:v>0.1619644449260417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BB8-4577-AD03-D8AA2E3FD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716112"/>
        <c:axId val="1475706544"/>
      </c:scatterChart>
      <c:valAx>
        <c:axId val="14757161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5706544"/>
        <c:crosses val="autoZero"/>
        <c:crossBetween val="midCat"/>
      </c:valAx>
      <c:valAx>
        <c:axId val="14757065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571611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'Propag. Incertezas (dP_dz)'!$R$11:$R$18</c:f>
              <c:numCache>
                <c:formatCode>0.00</c:formatCode>
                <c:ptCount val="8"/>
                <c:pt idx="0">
                  <c:v>1067.3013384365133</c:v>
                </c:pt>
                <c:pt idx="1">
                  <c:v>873.90451474430438</c:v>
                </c:pt>
                <c:pt idx="2">
                  <c:v>2066.2808173257818</c:v>
                </c:pt>
                <c:pt idx="3">
                  <c:v>668.25500124172095</c:v>
                </c:pt>
                <c:pt idx="4">
                  <c:v>9.6389288182062955</c:v>
                </c:pt>
                <c:pt idx="5">
                  <c:v>105.33030903737563</c:v>
                </c:pt>
                <c:pt idx="6">
                  <c:v>232.44724716203018</c:v>
                </c:pt>
                <c:pt idx="7">
                  <c:v>549.89428797434721</c:v>
                </c:pt>
              </c:numCache>
            </c:numRef>
          </c:xVal>
          <c:yVal>
            <c:numRef>
              <c:f>'Propag. Incertezas (dP_dz)'!$Q$11:$Q$18</c:f>
              <c:numCache>
                <c:formatCode>General</c:formatCode>
                <c:ptCount val="8"/>
                <c:pt idx="0">
                  <c:v>10.166844339373423</c:v>
                </c:pt>
                <c:pt idx="1">
                  <c:v>2.1588802434683969</c:v>
                </c:pt>
                <c:pt idx="2">
                  <c:v>29.610965157890558</c:v>
                </c:pt>
                <c:pt idx="3">
                  <c:v>141.55248047693109</c:v>
                </c:pt>
                <c:pt idx="4">
                  <c:v>7213.4913829816333</c:v>
                </c:pt>
                <c:pt idx="5">
                  <c:v>996.23630140080081</c:v>
                </c:pt>
                <c:pt idx="6">
                  <c:v>236.60480504204787</c:v>
                </c:pt>
                <c:pt idx="7">
                  <c:v>170.8012640474617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0A-4EAC-9434-11B07D2B6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672799"/>
        <c:axId val="2055671967"/>
      </c:scatterChart>
      <c:valAx>
        <c:axId val="205567279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dP/dz_fr (Pa/m)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5671967"/>
        <c:crosses val="autoZero"/>
        <c:crossBetween val="midCat"/>
      </c:valAx>
      <c:valAx>
        <c:axId val="20556719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u_dP/dz (Pa/m)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567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87185448416802"/>
          <c:y val="5.0068274920345927E-2"/>
          <c:w val="0.44662726272349185"/>
          <c:h val="0.7478229081173684"/>
        </c:manualLayout>
      </c:layout>
      <c:scatterChart>
        <c:scatterStyle val="lineMarker"/>
        <c:varyColors val="0"/>
        <c:ser>
          <c:idx val="2"/>
          <c:order val="0"/>
          <c:tx>
            <c:strRef>
              <c:f>'Fração de Vazio'!$AB$5</c:f>
              <c:strCache>
                <c:ptCount val="1"/>
                <c:pt idx="0">
                  <c:v>Zuber e Findlay (1965)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'Propag. Incertezas (alpha)'!$J$3:$J$22</c:f>
                <c:numCache>
                  <c:formatCode>General</c:formatCode>
                  <c:ptCount val="20"/>
                  <c:pt idx="0">
                    <c:v>4.9318648454227863E-2</c:v>
                  </c:pt>
                  <c:pt idx="1">
                    <c:v>4.1626059701074379E-2</c:v>
                  </c:pt>
                  <c:pt idx="2">
                    <c:v>3.5006443054471315E-2</c:v>
                  </c:pt>
                  <c:pt idx="3">
                    <c:v>1.572686474499899E-2</c:v>
                  </c:pt>
                  <c:pt idx="4">
                    <c:v>3.4934270432286772E-2</c:v>
                  </c:pt>
                  <c:pt idx="5">
                    <c:v>3.5413900364529016E-2</c:v>
                  </c:pt>
                  <c:pt idx="7">
                    <c:v>2.8075943599413726E-2</c:v>
                  </c:pt>
                  <c:pt idx="8">
                    <c:v>2.858541798302329E-2</c:v>
                  </c:pt>
                  <c:pt idx="9">
                    <c:v>2.7437188539792663E-2</c:v>
                  </c:pt>
                  <c:pt idx="10">
                    <c:v>3.5506032349503128E-2</c:v>
                  </c:pt>
                  <c:pt idx="11">
                    <c:v>3.5615924242620604E-2</c:v>
                  </c:pt>
                  <c:pt idx="12">
                    <c:v>3.5308218005289695E-2</c:v>
                  </c:pt>
                  <c:pt idx="13">
                    <c:v>3.5807531246643889E-2</c:v>
                  </c:pt>
                  <c:pt idx="14">
                    <c:v>3.5489817670786697E-2</c:v>
                  </c:pt>
                  <c:pt idx="16">
                    <c:v>1.554853930001184E-2</c:v>
                  </c:pt>
                  <c:pt idx="17">
                    <c:v>1.5543642284787778E-2</c:v>
                  </c:pt>
                  <c:pt idx="18">
                    <c:v>1.5525865124293802E-2</c:v>
                  </c:pt>
                  <c:pt idx="19">
                    <c:v>1.5541964715735605E-2</c:v>
                  </c:pt>
                </c:numCache>
              </c:numRef>
            </c:plus>
            <c:minus>
              <c:numRef>
                <c:f>'Propag. Incertezas (alpha)'!$J$3:$J$22</c:f>
                <c:numCache>
                  <c:formatCode>General</c:formatCode>
                  <c:ptCount val="20"/>
                  <c:pt idx="0">
                    <c:v>4.9318648454227863E-2</c:v>
                  </c:pt>
                  <c:pt idx="1">
                    <c:v>4.1626059701074379E-2</c:v>
                  </c:pt>
                  <c:pt idx="2">
                    <c:v>3.5006443054471315E-2</c:v>
                  </c:pt>
                  <c:pt idx="3">
                    <c:v>1.572686474499899E-2</c:v>
                  </c:pt>
                  <c:pt idx="4">
                    <c:v>3.4934270432286772E-2</c:v>
                  </c:pt>
                  <c:pt idx="5">
                    <c:v>3.5413900364529016E-2</c:v>
                  </c:pt>
                  <c:pt idx="7">
                    <c:v>2.8075943599413726E-2</c:v>
                  </c:pt>
                  <c:pt idx="8">
                    <c:v>2.858541798302329E-2</c:v>
                  </c:pt>
                  <c:pt idx="9">
                    <c:v>2.7437188539792663E-2</c:v>
                  </c:pt>
                  <c:pt idx="10">
                    <c:v>3.5506032349503128E-2</c:v>
                  </c:pt>
                  <c:pt idx="11">
                    <c:v>3.5615924242620604E-2</c:v>
                  </c:pt>
                  <c:pt idx="12">
                    <c:v>3.5308218005289695E-2</c:v>
                  </c:pt>
                  <c:pt idx="13">
                    <c:v>3.5807531246643889E-2</c:v>
                  </c:pt>
                  <c:pt idx="14">
                    <c:v>3.5489817670786697E-2</c:v>
                  </c:pt>
                  <c:pt idx="16">
                    <c:v>1.554853930001184E-2</c:v>
                  </c:pt>
                  <c:pt idx="17">
                    <c:v>1.5543642284787778E-2</c:v>
                  </c:pt>
                  <c:pt idx="18">
                    <c:v>1.5525865124293802E-2</c:v>
                  </c:pt>
                  <c:pt idx="19">
                    <c:v>1.5541964715735605E-2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'Base de Dados'!$AZ$3:$AZ$8</c:f>
              <c:numCache>
                <c:formatCode>General</c:formatCode>
                <c:ptCount val="6"/>
                <c:pt idx="0">
                  <c:v>0.65248523405819703</c:v>
                </c:pt>
                <c:pt idx="1">
                  <c:v>0.50576855978424695</c:v>
                </c:pt>
                <c:pt idx="2">
                  <c:v>0.70999653043466104</c:v>
                </c:pt>
                <c:pt idx="3">
                  <c:v>0.92075002616399704</c:v>
                </c:pt>
                <c:pt idx="4">
                  <c:v>0.75257334093050199</c:v>
                </c:pt>
                <c:pt idx="5">
                  <c:v>0.45787787719705703</c:v>
                </c:pt>
              </c:numCache>
            </c:numRef>
          </c:xVal>
          <c:yVal>
            <c:numRef>
              <c:f>'Fração de Vazio'!$L$3:$L$22</c:f>
              <c:numCache>
                <c:formatCode>General</c:formatCode>
                <c:ptCount val="20"/>
                <c:pt idx="0">
                  <c:v>0.68354299849003919</c:v>
                </c:pt>
                <c:pt idx="1">
                  <c:v>0.51696079424769525</c:v>
                </c:pt>
                <c:pt idx="2">
                  <c:v>0.69790929192921136</c:v>
                </c:pt>
                <c:pt idx="3">
                  <c:v>0.90992910433791985</c:v>
                </c:pt>
                <c:pt idx="5">
                  <c:v>0.50701848511722125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08-4F14-A8A0-9C87804B1C06}"/>
            </c:ext>
          </c:extLst>
        </c:ser>
        <c:ser>
          <c:idx val="3"/>
          <c:order val="1"/>
          <c:tx>
            <c:strRef>
              <c:f>'Fração de Vazio'!$AB$6</c:f>
              <c:strCache>
                <c:ptCount val="1"/>
                <c:pt idx="0">
                  <c:v>Hughmark (1965)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'Propag. Incertezas (alpha)'!$J$3:$J$22</c:f>
                <c:numCache>
                  <c:formatCode>General</c:formatCode>
                  <c:ptCount val="20"/>
                  <c:pt idx="0">
                    <c:v>4.9318648454227863E-2</c:v>
                  </c:pt>
                  <c:pt idx="1">
                    <c:v>4.1626059701074379E-2</c:v>
                  </c:pt>
                  <c:pt idx="2">
                    <c:v>3.5006443054471315E-2</c:v>
                  </c:pt>
                  <c:pt idx="3">
                    <c:v>1.572686474499899E-2</c:v>
                  </c:pt>
                  <c:pt idx="4">
                    <c:v>3.4934270432286772E-2</c:v>
                  </c:pt>
                  <c:pt idx="5">
                    <c:v>3.5413900364529016E-2</c:v>
                  </c:pt>
                  <c:pt idx="7">
                    <c:v>2.8075943599413726E-2</c:v>
                  </c:pt>
                  <c:pt idx="8">
                    <c:v>2.858541798302329E-2</c:v>
                  </c:pt>
                  <c:pt idx="9">
                    <c:v>2.7437188539792663E-2</c:v>
                  </c:pt>
                  <c:pt idx="10">
                    <c:v>3.5506032349503128E-2</c:v>
                  </c:pt>
                  <c:pt idx="11">
                    <c:v>3.5615924242620604E-2</c:v>
                  </c:pt>
                  <c:pt idx="12">
                    <c:v>3.5308218005289695E-2</c:v>
                  </c:pt>
                  <c:pt idx="13">
                    <c:v>3.5807531246643889E-2</c:v>
                  </c:pt>
                  <c:pt idx="14">
                    <c:v>3.5489817670786697E-2</c:v>
                  </c:pt>
                  <c:pt idx="16">
                    <c:v>1.554853930001184E-2</c:v>
                  </c:pt>
                  <c:pt idx="17">
                    <c:v>1.5543642284787778E-2</c:v>
                  </c:pt>
                  <c:pt idx="18">
                    <c:v>1.5525865124293802E-2</c:v>
                  </c:pt>
                  <c:pt idx="19">
                    <c:v>1.5541964715735605E-2</c:v>
                  </c:pt>
                </c:numCache>
              </c:numRef>
            </c:plus>
            <c:minus>
              <c:numRef>
                <c:f>'Propag. Incertezas (alpha)'!$J$3:$J$22</c:f>
                <c:numCache>
                  <c:formatCode>General</c:formatCode>
                  <c:ptCount val="20"/>
                  <c:pt idx="0">
                    <c:v>4.9318648454227863E-2</c:v>
                  </c:pt>
                  <c:pt idx="1">
                    <c:v>4.1626059701074379E-2</c:v>
                  </c:pt>
                  <c:pt idx="2">
                    <c:v>3.5006443054471315E-2</c:v>
                  </c:pt>
                  <c:pt idx="3">
                    <c:v>1.572686474499899E-2</c:v>
                  </c:pt>
                  <c:pt idx="4">
                    <c:v>3.4934270432286772E-2</c:v>
                  </c:pt>
                  <c:pt idx="5">
                    <c:v>3.5413900364529016E-2</c:v>
                  </c:pt>
                  <c:pt idx="7">
                    <c:v>2.8075943599413726E-2</c:v>
                  </c:pt>
                  <c:pt idx="8">
                    <c:v>2.858541798302329E-2</c:v>
                  </c:pt>
                  <c:pt idx="9">
                    <c:v>2.7437188539792663E-2</c:v>
                  </c:pt>
                  <c:pt idx="10">
                    <c:v>3.5506032349503128E-2</c:v>
                  </c:pt>
                  <c:pt idx="11">
                    <c:v>3.5615924242620604E-2</c:v>
                  </c:pt>
                  <c:pt idx="12">
                    <c:v>3.5308218005289695E-2</c:v>
                  </c:pt>
                  <c:pt idx="13">
                    <c:v>3.5807531246643889E-2</c:v>
                  </c:pt>
                  <c:pt idx="14">
                    <c:v>3.5489817670786697E-2</c:v>
                  </c:pt>
                  <c:pt idx="16">
                    <c:v>1.554853930001184E-2</c:v>
                  </c:pt>
                  <c:pt idx="17">
                    <c:v>1.5543642284787778E-2</c:v>
                  </c:pt>
                  <c:pt idx="18">
                    <c:v>1.5525865124293802E-2</c:v>
                  </c:pt>
                  <c:pt idx="19">
                    <c:v>1.5541964715735605E-2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'Base de Dados'!$AZ$3:$AZ$8</c:f>
              <c:numCache>
                <c:formatCode>General</c:formatCode>
                <c:ptCount val="6"/>
                <c:pt idx="0">
                  <c:v>0.65248523405819703</c:v>
                </c:pt>
                <c:pt idx="1">
                  <c:v>0.50576855978424695</c:v>
                </c:pt>
                <c:pt idx="2">
                  <c:v>0.70999653043466104</c:v>
                </c:pt>
                <c:pt idx="3">
                  <c:v>0.92075002616399704</c:v>
                </c:pt>
                <c:pt idx="4">
                  <c:v>0.75257334093050199</c:v>
                </c:pt>
                <c:pt idx="5">
                  <c:v>0.45787787719705703</c:v>
                </c:pt>
              </c:numCache>
            </c:numRef>
          </c:xVal>
          <c:yVal>
            <c:numRef>
              <c:f>'Fração de Vazio'!$T$3:$T$22</c:f>
              <c:numCache>
                <c:formatCode>General</c:formatCode>
                <c:ptCount val="20"/>
                <c:pt idx="2">
                  <c:v>0.66307517511166436</c:v>
                </c:pt>
                <c:pt idx="4">
                  <c:v>0.79112607913255784</c:v>
                </c:pt>
                <c:pt idx="5">
                  <c:v>0.50093971362311507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08-4F14-A8A0-9C87804B1C06}"/>
            </c:ext>
          </c:extLst>
        </c:ser>
        <c:ser>
          <c:idx val="4"/>
          <c:order val="2"/>
          <c:tx>
            <c:strRef>
              <c:f>'Fração de Vazio'!$AB$7</c:f>
              <c:strCache>
                <c:ptCount val="1"/>
                <c:pt idx="0">
                  <c:v>Guzhov et al. (1967)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'Propag. Incertezas (alpha)'!$J$3:$J$22</c:f>
                <c:numCache>
                  <c:formatCode>General</c:formatCode>
                  <c:ptCount val="20"/>
                  <c:pt idx="0">
                    <c:v>4.9318648454227863E-2</c:v>
                  </c:pt>
                  <c:pt idx="1">
                    <c:v>4.1626059701074379E-2</c:v>
                  </c:pt>
                  <c:pt idx="2">
                    <c:v>3.5006443054471315E-2</c:v>
                  </c:pt>
                  <c:pt idx="3">
                    <c:v>1.572686474499899E-2</c:v>
                  </c:pt>
                  <c:pt idx="4">
                    <c:v>3.4934270432286772E-2</c:v>
                  </c:pt>
                  <c:pt idx="5">
                    <c:v>3.5413900364529016E-2</c:v>
                  </c:pt>
                  <c:pt idx="7">
                    <c:v>2.8075943599413726E-2</c:v>
                  </c:pt>
                  <c:pt idx="8">
                    <c:v>2.858541798302329E-2</c:v>
                  </c:pt>
                  <c:pt idx="9">
                    <c:v>2.7437188539792663E-2</c:v>
                  </c:pt>
                  <c:pt idx="10">
                    <c:v>3.5506032349503128E-2</c:v>
                  </c:pt>
                  <c:pt idx="11">
                    <c:v>3.5615924242620604E-2</c:v>
                  </c:pt>
                  <c:pt idx="12">
                    <c:v>3.5308218005289695E-2</c:v>
                  </c:pt>
                  <c:pt idx="13">
                    <c:v>3.5807531246643889E-2</c:v>
                  </c:pt>
                  <c:pt idx="14">
                    <c:v>3.5489817670786697E-2</c:v>
                  </c:pt>
                  <c:pt idx="16">
                    <c:v>1.554853930001184E-2</c:v>
                  </c:pt>
                  <c:pt idx="17">
                    <c:v>1.5543642284787778E-2</c:v>
                  </c:pt>
                  <c:pt idx="18">
                    <c:v>1.5525865124293802E-2</c:v>
                  </c:pt>
                  <c:pt idx="19">
                    <c:v>1.5541964715735605E-2</c:v>
                  </c:pt>
                </c:numCache>
              </c:numRef>
            </c:plus>
            <c:minus>
              <c:numRef>
                <c:f>'Propag. Incertezas (alpha)'!$J$3:$J$22</c:f>
                <c:numCache>
                  <c:formatCode>General</c:formatCode>
                  <c:ptCount val="20"/>
                  <c:pt idx="0">
                    <c:v>4.9318648454227863E-2</c:v>
                  </c:pt>
                  <c:pt idx="1">
                    <c:v>4.1626059701074379E-2</c:v>
                  </c:pt>
                  <c:pt idx="2">
                    <c:v>3.5006443054471315E-2</c:v>
                  </c:pt>
                  <c:pt idx="3">
                    <c:v>1.572686474499899E-2</c:v>
                  </c:pt>
                  <c:pt idx="4">
                    <c:v>3.4934270432286772E-2</c:v>
                  </c:pt>
                  <c:pt idx="5">
                    <c:v>3.5413900364529016E-2</c:v>
                  </c:pt>
                  <c:pt idx="7">
                    <c:v>2.8075943599413726E-2</c:v>
                  </c:pt>
                  <c:pt idx="8">
                    <c:v>2.858541798302329E-2</c:v>
                  </c:pt>
                  <c:pt idx="9">
                    <c:v>2.7437188539792663E-2</c:v>
                  </c:pt>
                  <c:pt idx="10">
                    <c:v>3.5506032349503128E-2</c:v>
                  </c:pt>
                  <c:pt idx="11">
                    <c:v>3.5615924242620604E-2</c:v>
                  </c:pt>
                  <c:pt idx="12">
                    <c:v>3.5308218005289695E-2</c:v>
                  </c:pt>
                  <c:pt idx="13">
                    <c:v>3.5807531246643889E-2</c:v>
                  </c:pt>
                  <c:pt idx="14">
                    <c:v>3.5489817670786697E-2</c:v>
                  </c:pt>
                  <c:pt idx="16">
                    <c:v>1.554853930001184E-2</c:v>
                  </c:pt>
                  <c:pt idx="17">
                    <c:v>1.5543642284787778E-2</c:v>
                  </c:pt>
                  <c:pt idx="18">
                    <c:v>1.5525865124293802E-2</c:v>
                  </c:pt>
                  <c:pt idx="19">
                    <c:v>1.5541964715735605E-2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'Base de Dados'!$AZ$3:$AZ$8</c:f>
              <c:numCache>
                <c:formatCode>General</c:formatCode>
                <c:ptCount val="6"/>
                <c:pt idx="0">
                  <c:v>0.65248523405819703</c:v>
                </c:pt>
                <c:pt idx="1">
                  <c:v>0.50576855978424695</c:v>
                </c:pt>
                <c:pt idx="2">
                  <c:v>0.70999653043466104</c:v>
                </c:pt>
                <c:pt idx="3">
                  <c:v>0.92075002616399704</c:v>
                </c:pt>
                <c:pt idx="4">
                  <c:v>0.75257334093050199</c:v>
                </c:pt>
                <c:pt idx="5">
                  <c:v>0.45787787719705703</c:v>
                </c:pt>
              </c:numCache>
            </c:numRef>
          </c:xVal>
          <c:yVal>
            <c:numRef>
              <c:f>'Fração de Vazio'!$S$3:$S$22</c:f>
              <c:numCache>
                <c:formatCode>General</c:formatCode>
                <c:ptCount val="20"/>
                <c:pt idx="0">
                  <c:v>0.69077587497765225</c:v>
                </c:pt>
                <c:pt idx="1">
                  <c:v>0.52121695173577309</c:v>
                </c:pt>
                <c:pt idx="4">
                  <c:v>0.76896988967832047</c:v>
                </c:pt>
                <c:pt idx="5">
                  <c:v>0.48684864752394108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08-4F14-A8A0-9C87804B1C06}"/>
            </c:ext>
          </c:extLst>
        </c:ser>
        <c:ser>
          <c:idx val="5"/>
          <c:order val="3"/>
          <c:tx>
            <c:strRef>
              <c:f>'Fração de Vazio'!$AB$8</c:f>
              <c:strCache>
                <c:ptCount val="1"/>
                <c:pt idx="0">
                  <c:v>Rouhani e Axelsson (1970)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'Propag. Incertezas (alpha)'!$J$3:$J$22</c:f>
                <c:numCache>
                  <c:formatCode>General</c:formatCode>
                  <c:ptCount val="20"/>
                  <c:pt idx="0">
                    <c:v>4.9318648454227863E-2</c:v>
                  </c:pt>
                  <c:pt idx="1">
                    <c:v>4.1626059701074379E-2</c:v>
                  </c:pt>
                  <c:pt idx="2">
                    <c:v>3.5006443054471315E-2</c:v>
                  </c:pt>
                  <c:pt idx="3">
                    <c:v>1.572686474499899E-2</c:v>
                  </c:pt>
                  <c:pt idx="4">
                    <c:v>3.4934270432286772E-2</c:v>
                  </c:pt>
                  <c:pt idx="5">
                    <c:v>3.5413900364529016E-2</c:v>
                  </c:pt>
                  <c:pt idx="7">
                    <c:v>2.8075943599413726E-2</c:v>
                  </c:pt>
                  <c:pt idx="8">
                    <c:v>2.858541798302329E-2</c:v>
                  </c:pt>
                  <c:pt idx="9">
                    <c:v>2.7437188539792663E-2</c:v>
                  </c:pt>
                  <c:pt idx="10">
                    <c:v>3.5506032349503128E-2</c:v>
                  </c:pt>
                  <c:pt idx="11">
                    <c:v>3.5615924242620604E-2</c:v>
                  </c:pt>
                  <c:pt idx="12">
                    <c:v>3.5308218005289695E-2</c:v>
                  </c:pt>
                  <c:pt idx="13">
                    <c:v>3.5807531246643889E-2</c:v>
                  </c:pt>
                  <c:pt idx="14">
                    <c:v>3.5489817670786697E-2</c:v>
                  </c:pt>
                  <c:pt idx="16">
                    <c:v>1.554853930001184E-2</c:v>
                  </c:pt>
                  <c:pt idx="17">
                    <c:v>1.5543642284787778E-2</c:v>
                  </c:pt>
                  <c:pt idx="18">
                    <c:v>1.5525865124293802E-2</c:v>
                  </c:pt>
                  <c:pt idx="19">
                    <c:v>1.5541964715735605E-2</c:v>
                  </c:pt>
                </c:numCache>
              </c:numRef>
            </c:plus>
            <c:minus>
              <c:numRef>
                <c:f>'Propag. Incertezas (alpha)'!$J$3:$J$22</c:f>
                <c:numCache>
                  <c:formatCode>General</c:formatCode>
                  <c:ptCount val="20"/>
                  <c:pt idx="0">
                    <c:v>4.9318648454227863E-2</c:v>
                  </c:pt>
                  <c:pt idx="1">
                    <c:v>4.1626059701074379E-2</c:v>
                  </c:pt>
                  <c:pt idx="2">
                    <c:v>3.5006443054471315E-2</c:v>
                  </c:pt>
                  <c:pt idx="3">
                    <c:v>1.572686474499899E-2</c:v>
                  </c:pt>
                  <c:pt idx="4">
                    <c:v>3.4934270432286772E-2</c:v>
                  </c:pt>
                  <c:pt idx="5">
                    <c:v>3.5413900364529016E-2</c:v>
                  </c:pt>
                  <c:pt idx="7">
                    <c:v>2.8075943599413726E-2</c:v>
                  </c:pt>
                  <c:pt idx="8">
                    <c:v>2.858541798302329E-2</c:v>
                  </c:pt>
                  <c:pt idx="9">
                    <c:v>2.7437188539792663E-2</c:v>
                  </c:pt>
                  <c:pt idx="10">
                    <c:v>3.5506032349503128E-2</c:v>
                  </c:pt>
                  <c:pt idx="11">
                    <c:v>3.5615924242620604E-2</c:v>
                  </c:pt>
                  <c:pt idx="12">
                    <c:v>3.5308218005289695E-2</c:v>
                  </c:pt>
                  <c:pt idx="13">
                    <c:v>3.5807531246643889E-2</c:v>
                  </c:pt>
                  <c:pt idx="14">
                    <c:v>3.5489817670786697E-2</c:v>
                  </c:pt>
                  <c:pt idx="16">
                    <c:v>1.554853930001184E-2</c:v>
                  </c:pt>
                  <c:pt idx="17">
                    <c:v>1.5543642284787778E-2</c:v>
                  </c:pt>
                  <c:pt idx="18">
                    <c:v>1.5525865124293802E-2</c:v>
                  </c:pt>
                  <c:pt idx="19">
                    <c:v>1.5541964715735605E-2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'Base de Dados'!$AZ$3:$AZ$8</c:f>
              <c:numCache>
                <c:formatCode>General</c:formatCode>
                <c:ptCount val="6"/>
                <c:pt idx="0">
                  <c:v>0.65248523405819703</c:v>
                </c:pt>
                <c:pt idx="1">
                  <c:v>0.50576855978424695</c:v>
                </c:pt>
                <c:pt idx="2">
                  <c:v>0.70999653043466104</c:v>
                </c:pt>
                <c:pt idx="3">
                  <c:v>0.92075002616399704</c:v>
                </c:pt>
                <c:pt idx="4">
                  <c:v>0.75257334093050199</c:v>
                </c:pt>
                <c:pt idx="5">
                  <c:v>0.45787787719705703</c:v>
                </c:pt>
              </c:numCache>
            </c:numRef>
          </c:xVal>
          <c:yVal>
            <c:numRef>
              <c:f>'Fração de Vazio'!$M$3:$M$22</c:f>
              <c:numCache>
                <c:formatCode>General</c:formatCode>
                <c:ptCount val="20"/>
                <c:pt idx="1">
                  <c:v>0.5245409587252049</c:v>
                </c:pt>
                <c:pt idx="2">
                  <c:v>0.70837136767514219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08-4F14-A8A0-9C87804B1C06}"/>
            </c:ext>
          </c:extLst>
        </c:ser>
        <c:ser>
          <c:idx val="7"/>
          <c:order val="4"/>
          <c:tx>
            <c:strRef>
              <c:f>'Fração de Vazio'!$AB$10</c:f>
              <c:strCache>
                <c:ptCount val="1"/>
                <c:pt idx="0">
                  <c:v>Toshiba (1989)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'Propag. Incertezas (alpha)'!$J$3:$J$22</c:f>
                <c:numCache>
                  <c:formatCode>General</c:formatCode>
                  <c:ptCount val="20"/>
                  <c:pt idx="0">
                    <c:v>4.9318648454227863E-2</c:v>
                  </c:pt>
                  <c:pt idx="1">
                    <c:v>4.1626059701074379E-2</c:v>
                  </c:pt>
                  <c:pt idx="2">
                    <c:v>3.5006443054471315E-2</c:v>
                  </c:pt>
                  <c:pt idx="3">
                    <c:v>1.572686474499899E-2</c:v>
                  </c:pt>
                  <c:pt idx="4">
                    <c:v>3.4934270432286772E-2</c:v>
                  </c:pt>
                  <c:pt idx="5">
                    <c:v>3.5413900364529016E-2</c:v>
                  </c:pt>
                  <c:pt idx="7">
                    <c:v>2.8075943599413726E-2</c:v>
                  </c:pt>
                  <c:pt idx="8">
                    <c:v>2.858541798302329E-2</c:v>
                  </c:pt>
                  <c:pt idx="9">
                    <c:v>2.7437188539792663E-2</c:v>
                  </c:pt>
                  <c:pt idx="10">
                    <c:v>3.5506032349503128E-2</c:v>
                  </c:pt>
                  <c:pt idx="11">
                    <c:v>3.5615924242620604E-2</c:v>
                  </c:pt>
                  <c:pt idx="12">
                    <c:v>3.5308218005289695E-2</c:v>
                  </c:pt>
                  <c:pt idx="13">
                    <c:v>3.5807531246643889E-2</c:v>
                  </c:pt>
                  <c:pt idx="14">
                    <c:v>3.5489817670786697E-2</c:v>
                  </c:pt>
                  <c:pt idx="16">
                    <c:v>1.554853930001184E-2</c:v>
                  </c:pt>
                  <c:pt idx="17">
                    <c:v>1.5543642284787778E-2</c:v>
                  </c:pt>
                  <c:pt idx="18">
                    <c:v>1.5525865124293802E-2</c:v>
                  </c:pt>
                  <c:pt idx="19">
                    <c:v>1.5541964715735605E-2</c:v>
                  </c:pt>
                </c:numCache>
              </c:numRef>
            </c:plus>
            <c:minus>
              <c:numRef>
                <c:f>'Propag. Incertezas (alpha)'!$J$3:$J$22</c:f>
                <c:numCache>
                  <c:formatCode>General</c:formatCode>
                  <c:ptCount val="20"/>
                  <c:pt idx="0">
                    <c:v>4.9318648454227863E-2</c:v>
                  </c:pt>
                  <c:pt idx="1">
                    <c:v>4.1626059701074379E-2</c:v>
                  </c:pt>
                  <c:pt idx="2">
                    <c:v>3.5006443054471315E-2</c:v>
                  </c:pt>
                  <c:pt idx="3">
                    <c:v>1.572686474499899E-2</c:v>
                  </c:pt>
                  <c:pt idx="4">
                    <c:v>3.4934270432286772E-2</c:v>
                  </c:pt>
                  <c:pt idx="5">
                    <c:v>3.5413900364529016E-2</c:v>
                  </c:pt>
                  <c:pt idx="7">
                    <c:v>2.8075943599413726E-2</c:v>
                  </c:pt>
                  <c:pt idx="8">
                    <c:v>2.858541798302329E-2</c:v>
                  </c:pt>
                  <c:pt idx="9">
                    <c:v>2.7437188539792663E-2</c:v>
                  </c:pt>
                  <c:pt idx="10">
                    <c:v>3.5506032349503128E-2</c:v>
                  </c:pt>
                  <c:pt idx="11">
                    <c:v>3.5615924242620604E-2</c:v>
                  </c:pt>
                  <c:pt idx="12">
                    <c:v>3.5308218005289695E-2</c:v>
                  </c:pt>
                  <c:pt idx="13">
                    <c:v>3.5807531246643889E-2</c:v>
                  </c:pt>
                  <c:pt idx="14">
                    <c:v>3.5489817670786697E-2</c:v>
                  </c:pt>
                  <c:pt idx="16">
                    <c:v>1.554853930001184E-2</c:v>
                  </c:pt>
                  <c:pt idx="17">
                    <c:v>1.5543642284787778E-2</c:v>
                  </c:pt>
                  <c:pt idx="18">
                    <c:v>1.5525865124293802E-2</c:v>
                  </c:pt>
                  <c:pt idx="19">
                    <c:v>1.5541964715735605E-2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'Base de Dados'!$AZ$3:$AZ$8</c:f>
              <c:numCache>
                <c:formatCode>General</c:formatCode>
                <c:ptCount val="6"/>
                <c:pt idx="0">
                  <c:v>0.65248523405819703</c:v>
                </c:pt>
                <c:pt idx="1">
                  <c:v>0.50576855978424695</c:v>
                </c:pt>
                <c:pt idx="2">
                  <c:v>0.70999653043466104</c:v>
                </c:pt>
                <c:pt idx="3">
                  <c:v>0.92075002616399704</c:v>
                </c:pt>
                <c:pt idx="4">
                  <c:v>0.75257334093050199</c:v>
                </c:pt>
                <c:pt idx="5">
                  <c:v>0.45787787719705703</c:v>
                </c:pt>
              </c:numCache>
            </c:numRef>
          </c:xVal>
          <c:yVal>
            <c:numRef>
              <c:f>'Fração de Vazio'!$Q$3:$Q$22</c:f>
              <c:numCache>
                <c:formatCode>General</c:formatCode>
                <c:ptCount val="20"/>
                <c:pt idx="2">
                  <c:v>0.70081424035876583</c:v>
                </c:pt>
                <c:pt idx="3">
                  <c:v>0.90073333285967894</c:v>
                </c:pt>
                <c:pt idx="4">
                  <c:v>0.79512850000859281</c:v>
                </c:pt>
                <c:pt idx="5">
                  <c:v>0.48737562808723933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D08-4F14-A8A0-9C87804B1C06}"/>
            </c:ext>
          </c:extLst>
        </c:ser>
        <c:ser>
          <c:idx val="8"/>
          <c:order val="5"/>
          <c:tx>
            <c:strRef>
              <c:f>'Fração de Vazio'!$AB$11</c:f>
              <c:strCache>
                <c:ptCount val="1"/>
                <c:pt idx="0">
                  <c:v>Woldesemayat e Ghajar (2007)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'Propag. Incertezas (alpha)'!$J$3:$J$22</c:f>
                <c:numCache>
                  <c:formatCode>General</c:formatCode>
                  <c:ptCount val="20"/>
                  <c:pt idx="0">
                    <c:v>4.9318648454227863E-2</c:v>
                  </c:pt>
                  <c:pt idx="1">
                    <c:v>4.1626059701074379E-2</c:v>
                  </c:pt>
                  <c:pt idx="2">
                    <c:v>3.5006443054471315E-2</c:v>
                  </c:pt>
                  <c:pt idx="3">
                    <c:v>1.572686474499899E-2</c:v>
                  </c:pt>
                  <c:pt idx="4">
                    <c:v>3.4934270432286772E-2</c:v>
                  </c:pt>
                  <c:pt idx="5">
                    <c:v>3.5413900364529016E-2</c:v>
                  </c:pt>
                  <c:pt idx="7">
                    <c:v>2.8075943599413726E-2</c:v>
                  </c:pt>
                  <c:pt idx="8">
                    <c:v>2.858541798302329E-2</c:v>
                  </c:pt>
                  <c:pt idx="9">
                    <c:v>2.7437188539792663E-2</c:v>
                  </c:pt>
                  <c:pt idx="10">
                    <c:v>3.5506032349503128E-2</c:v>
                  </c:pt>
                  <c:pt idx="11">
                    <c:v>3.5615924242620604E-2</c:v>
                  </c:pt>
                  <c:pt idx="12">
                    <c:v>3.5308218005289695E-2</c:v>
                  </c:pt>
                  <c:pt idx="13">
                    <c:v>3.5807531246643889E-2</c:v>
                  </c:pt>
                  <c:pt idx="14">
                    <c:v>3.5489817670786697E-2</c:v>
                  </c:pt>
                  <c:pt idx="16">
                    <c:v>1.554853930001184E-2</c:v>
                  </c:pt>
                  <c:pt idx="17">
                    <c:v>1.5543642284787778E-2</c:v>
                  </c:pt>
                  <c:pt idx="18">
                    <c:v>1.5525865124293802E-2</c:v>
                  </c:pt>
                  <c:pt idx="19">
                    <c:v>1.5541964715735605E-2</c:v>
                  </c:pt>
                </c:numCache>
              </c:numRef>
            </c:plus>
            <c:minus>
              <c:numRef>
                <c:f>'Propag. Incertezas (alpha)'!$J$3:$J$22</c:f>
                <c:numCache>
                  <c:formatCode>General</c:formatCode>
                  <c:ptCount val="20"/>
                  <c:pt idx="0">
                    <c:v>4.9318648454227863E-2</c:v>
                  </c:pt>
                  <c:pt idx="1">
                    <c:v>4.1626059701074379E-2</c:v>
                  </c:pt>
                  <c:pt idx="2">
                    <c:v>3.5006443054471315E-2</c:v>
                  </c:pt>
                  <c:pt idx="3">
                    <c:v>1.572686474499899E-2</c:v>
                  </c:pt>
                  <c:pt idx="4">
                    <c:v>3.4934270432286772E-2</c:v>
                  </c:pt>
                  <c:pt idx="5">
                    <c:v>3.5413900364529016E-2</c:v>
                  </c:pt>
                  <c:pt idx="7">
                    <c:v>2.8075943599413726E-2</c:v>
                  </c:pt>
                  <c:pt idx="8">
                    <c:v>2.858541798302329E-2</c:v>
                  </c:pt>
                  <c:pt idx="9">
                    <c:v>2.7437188539792663E-2</c:v>
                  </c:pt>
                  <c:pt idx="10">
                    <c:v>3.5506032349503128E-2</c:v>
                  </c:pt>
                  <c:pt idx="11">
                    <c:v>3.5615924242620604E-2</c:v>
                  </c:pt>
                  <c:pt idx="12">
                    <c:v>3.5308218005289695E-2</c:v>
                  </c:pt>
                  <c:pt idx="13">
                    <c:v>3.5807531246643889E-2</c:v>
                  </c:pt>
                  <c:pt idx="14">
                    <c:v>3.5489817670786697E-2</c:v>
                  </c:pt>
                  <c:pt idx="16">
                    <c:v>1.554853930001184E-2</c:v>
                  </c:pt>
                  <c:pt idx="17">
                    <c:v>1.5543642284787778E-2</c:v>
                  </c:pt>
                  <c:pt idx="18">
                    <c:v>1.5525865124293802E-2</c:v>
                  </c:pt>
                  <c:pt idx="19">
                    <c:v>1.5541964715735605E-2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'Base de Dados'!$AZ$3:$AZ$8</c:f>
              <c:numCache>
                <c:formatCode>General</c:formatCode>
                <c:ptCount val="6"/>
                <c:pt idx="0">
                  <c:v>0.65248523405819703</c:v>
                </c:pt>
                <c:pt idx="1">
                  <c:v>0.50576855978424695</c:v>
                </c:pt>
                <c:pt idx="2">
                  <c:v>0.70999653043466104</c:v>
                </c:pt>
                <c:pt idx="3">
                  <c:v>0.92075002616399704</c:v>
                </c:pt>
                <c:pt idx="4">
                  <c:v>0.75257334093050199</c:v>
                </c:pt>
                <c:pt idx="5">
                  <c:v>0.45787787719705703</c:v>
                </c:pt>
              </c:numCache>
            </c:numRef>
          </c:xVal>
          <c:yVal>
            <c:numRef>
              <c:f>'Fração de Vazio'!$N$3:$N$22</c:f>
              <c:numCache>
                <c:formatCode>General</c:formatCode>
                <c:ptCount val="20"/>
                <c:pt idx="2">
                  <c:v>0.67526935727817916</c:v>
                </c:pt>
                <c:pt idx="3">
                  <c:v>0.92968798540050812</c:v>
                </c:pt>
                <c:pt idx="4">
                  <c:v>0.76879021718995755</c:v>
                </c:pt>
                <c:pt idx="5">
                  <c:v>0.50763192497025622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D08-4F14-A8A0-9C87804B1C06}"/>
            </c:ext>
          </c:extLst>
        </c:ser>
        <c:ser>
          <c:idx val="9"/>
          <c:order val="6"/>
          <c:tx>
            <c:strRef>
              <c:f>'Fração de Vazio'!$AB$12</c:f>
              <c:strCache>
                <c:ptCount val="1"/>
                <c:pt idx="0">
                  <c:v>Cioncolini e Thome (2012)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'Propag. Incertezas (alpha)'!$J$3:$J$22</c:f>
                <c:numCache>
                  <c:formatCode>General</c:formatCode>
                  <c:ptCount val="20"/>
                  <c:pt idx="0">
                    <c:v>4.9318648454227863E-2</c:v>
                  </c:pt>
                  <c:pt idx="1">
                    <c:v>4.1626059701074379E-2</c:v>
                  </c:pt>
                  <c:pt idx="2">
                    <c:v>3.5006443054471315E-2</c:v>
                  </c:pt>
                  <c:pt idx="3">
                    <c:v>1.572686474499899E-2</c:v>
                  </c:pt>
                  <c:pt idx="4">
                    <c:v>3.4934270432286772E-2</c:v>
                  </c:pt>
                  <c:pt idx="5">
                    <c:v>3.5413900364529016E-2</c:v>
                  </c:pt>
                  <c:pt idx="7">
                    <c:v>2.8075943599413726E-2</c:v>
                  </c:pt>
                  <c:pt idx="8">
                    <c:v>2.858541798302329E-2</c:v>
                  </c:pt>
                  <c:pt idx="9">
                    <c:v>2.7437188539792663E-2</c:v>
                  </c:pt>
                  <c:pt idx="10">
                    <c:v>3.5506032349503128E-2</c:v>
                  </c:pt>
                  <c:pt idx="11">
                    <c:v>3.5615924242620604E-2</c:v>
                  </c:pt>
                  <c:pt idx="12">
                    <c:v>3.5308218005289695E-2</c:v>
                  </c:pt>
                  <c:pt idx="13">
                    <c:v>3.5807531246643889E-2</c:v>
                  </c:pt>
                  <c:pt idx="14">
                    <c:v>3.5489817670786697E-2</c:v>
                  </c:pt>
                  <c:pt idx="16">
                    <c:v>1.554853930001184E-2</c:v>
                  </c:pt>
                  <c:pt idx="17">
                    <c:v>1.5543642284787778E-2</c:v>
                  </c:pt>
                  <c:pt idx="18">
                    <c:v>1.5525865124293802E-2</c:v>
                  </c:pt>
                  <c:pt idx="19">
                    <c:v>1.5541964715735605E-2</c:v>
                  </c:pt>
                </c:numCache>
              </c:numRef>
            </c:plus>
            <c:minus>
              <c:numRef>
                <c:f>'Propag. Incertezas (alpha)'!$J$3:$J$22</c:f>
                <c:numCache>
                  <c:formatCode>General</c:formatCode>
                  <c:ptCount val="20"/>
                  <c:pt idx="0">
                    <c:v>4.9318648454227863E-2</c:v>
                  </c:pt>
                  <c:pt idx="1">
                    <c:v>4.1626059701074379E-2</c:v>
                  </c:pt>
                  <c:pt idx="2">
                    <c:v>3.5006443054471315E-2</c:v>
                  </c:pt>
                  <c:pt idx="3">
                    <c:v>1.572686474499899E-2</c:v>
                  </c:pt>
                  <c:pt idx="4">
                    <c:v>3.4934270432286772E-2</c:v>
                  </c:pt>
                  <c:pt idx="5">
                    <c:v>3.5413900364529016E-2</c:v>
                  </c:pt>
                  <c:pt idx="7">
                    <c:v>2.8075943599413726E-2</c:v>
                  </c:pt>
                  <c:pt idx="8">
                    <c:v>2.858541798302329E-2</c:v>
                  </c:pt>
                  <c:pt idx="9">
                    <c:v>2.7437188539792663E-2</c:v>
                  </c:pt>
                  <c:pt idx="10">
                    <c:v>3.5506032349503128E-2</c:v>
                  </c:pt>
                  <c:pt idx="11">
                    <c:v>3.5615924242620604E-2</c:v>
                  </c:pt>
                  <c:pt idx="12">
                    <c:v>3.5308218005289695E-2</c:v>
                  </c:pt>
                  <c:pt idx="13">
                    <c:v>3.5807531246643889E-2</c:v>
                  </c:pt>
                  <c:pt idx="14">
                    <c:v>3.5489817670786697E-2</c:v>
                  </c:pt>
                  <c:pt idx="16">
                    <c:v>1.554853930001184E-2</c:v>
                  </c:pt>
                  <c:pt idx="17">
                    <c:v>1.5543642284787778E-2</c:v>
                  </c:pt>
                  <c:pt idx="18">
                    <c:v>1.5525865124293802E-2</c:v>
                  </c:pt>
                  <c:pt idx="19">
                    <c:v>1.5541964715735605E-2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'Base de Dados'!$AZ$3:$AZ$8</c:f>
              <c:numCache>
                <c:formatCode>General</c:formatCode>
                <c:ptCount val="6"/>
                <c:pt idx="0">
                  <c:v>0.65248523405819703</c:v>
                </c:pt>
                <c:pt idx="1">
                  <c:v>0.50576855978424695</c:v>
                </c:pt>
                <c:pt idx="2">
                  <c:v>0.70999653043466104</c:v>
                </c:pt>
                <c:pt idx="3">
                  <c:v>0.92075002616399704</c:v>
                </c:pt>
                <c:pt idx="4">
                  <c:v>0.75257334093050199</c:v>
                </c:pt>
                <c:pt idx="5">
                  <c:v>0.45787787719705703</c:v>
                </c:pt>
              </c:numCache>
            </c:numRef>
          </c:xVal>
          <c:yVal>
            <c:numRef>
              <c:f>'Fração de Vazio'!$O$3:$O$22</c:f>
              <c:numCache>
                <c:formatCode>General</c:formatCode>
                <c:ptCount val="20"/>
                <c:pt idx="2">
                  <c:v>0.68607006727037245</c:v>
                </c:pt>
                <c:pt idx="3">
                  <c:v>0.94239347032403231</c:v>
                </c:pt>
                <c:pt idx="4">
                  <c:v>0.79460327611657522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D08-4F14-A8A0-9C87804B1C06}"/>
            </c:ext>
          </c:extLst>
        </c:ser>
        <c:ser>
          <c:idx val="10"/>
          <c:order val="7"/>
          <c:tx>
            <c:strRef>
              <c:f>'Fração de Vazio'!$AB$13</c:f>
              <c:strCache>
                <c:ptCount val="1"/>
                <c:pt idx="0">
                  <c:v>Kanizawa e Ribatski (2015)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'Propag. Incertezas (alpha)'!$J$3:$J$8</c:f>
                <c:numCache>
                  <c:formatCode>General</c:formatCode>
                  <c:ptCount val="6"/>
                  <c:pt idx="0">
                    <c:v>4.9318648454227863E-2</c:v>
                  </c:pt>
                  <c:pt idx="1">
                    <c:v>4.1626059701074379E-2</c:v>
                  </c:pt>
                  <c:pt idx="2">
                    <c:v>3.5006443054471315E-2</c:v>
                  </c:pt>
                  <c:pt idx="3">
                    <c:v>1.572686474499899E-2</c:v>
                  </c:pt>
                  <c:pt idx="4">
                    <c:v>3.4934270432286772E-2</c:v>
                  </c:pt>
                  <c:pt idx="5">
                    <c:v>3.5413900364529016E-2</c:v>
                  </c:pt>
                </c:numCache>
              </c:numRef>
            </c:plus>
            <c:minus>
              <c:numRef>
                <c:f>'Propag. Incertezas (alpha)'!$J$3:$J$8</c:f>
                <c:numCache>
                  <c:formatCode>General</c:formatCode>
                  <c:ptCount val="6"/>
                  <c:pt idx="0">
                    <c:v>4.9318648454227863E-2</c:v>
                  </c:pt>
                  <c:pt idx="1">
                    <c:v>4.1626059701074379E-2</c:v>
                  </c:pt>
                  <c:pt idx="2">
                    <c:v>3.5006443054471315E-2</c:v>
                  </c:pt>
                  <c:pt idx="3">
                    <c:v>1.572686474499899E-2</c:v>
                  </c:pt>
                  <c:pt idx="4">
                    <c:v>3.4934270432286772E-2</c:v>
                  </c:pt>
                  <c:pt idx="5">
                    <c:v>3.5413900364529016E-2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'Base de Dados'!$AZ$3:$AZ$8</c:f>
              <c:numCache>
                <c:formatCode>General</c:formatCode>
                <c:ptCount val="6"/>
                <c:pt idx="0">
                  <c:v>0.65248523405819703</c:v>
                </c:pt>
                <c:pt idx="1">
                  <c:v>0.50576855978424695</c:v>
                </c:pt>
                <c:pt idx="2">
                  <c:v>0.70999653043466104</c:v>
                </c:pt>
                <c:pt idx="3">
                  <c:v>0.92075002616399704</c:v>
                </c:pt>
                <c:pt idx="4">
                  <c:v>0.75257334093050199</c:v>
                </c:pt>
                <c:pt idx="5">
                  <c:v>0.45787787719705703</c:v>
                </c:pt>
              </c:numCache>
            </c:numRef>
          </c:xVal>
          <c:yVal>
            <c:numRef>
              <c:f>'Fração de Vazio'!$P$3:$P$22</c:f>
              <c:numCache>
                <c:formatCode>General</c:formatCode>
                <c:ptCount val="20"/>
                <c:pt idx="2">
                  <c:v>0.68654736505573477</c:v>
                </c:pt>
                <c:pt idx="3">
                  <c:v>0.92631900942537726</c:v>
                </c:pt>
                <c:pt idx="4">
                  <c:v>0.71889216994805827</c:v>
                </c:pt>
                <c:pt idx="5">
                  <c:v>0.42997415461968813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D08-4F14-A8A0-9C87804B1C06}"/>
            </c:ext>
          </c:extLst>
        </c:ser>
        <c:ser>
          <c:idx val="11"/>
          <c:order val="8"/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'Fração de Vazio'!$W$24:$W$25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'Fração de Vazio'!$X$24:$X$25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D08-4F14-A8A0-9C87804B1C06}"/>
            </c:ext>
          </c:extLst>
        </c:ser>
        <c:ser>
          <c:idx val="0"/>
          <c:order val="9"/>
          <c:tx>
            <c:strRef>
              <c:f>'Fração de Vazio'!$S$28</c:f>
              <c:strCache>
                <c:ptCount val="1"/>
                <c:pt idx="0">
                  <c:v>Zivi (1964)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'Propag. Incertezas (alpha)'!$J$3:$J$22</c:f>
                <c:numCache>
                  <c:formatCode>General</c:formatCode>
                  <c:ptCount val="20"/>
                  <c:pt idx="0">
                    <c:v>4.9318648454227863E-2</c:v>
                  </c:pt>
                  <c:pt idx="1">
                    <c:v>4.1626059701074379E-2</c:v>
                  </c:pt>
                  <c:pt idx="2">
                    <c:v>3.5006443054471315E-2</c:v>
                  </c:pt>
                  <c:pt idx="3">
                    <c:v>1.572686474499899E-2</c:v>
                  </c:pt>
                  <c:pt idx="4">
                    <c:v>3.4934270432286772E-2</c:v>
                  </c:pt>
                  <c:pt idx="5">
                    <c:v>3.5413900364529016E-2</c:v>
                  </c:pt>
                  <c:pt idx="7">
                    <c:v>2.8075943599413726E-2</c:v>
                  </c:pt>
                  <c:pt idx="8">
                    <c:v>2.858541798302329E-2</c:v>
                  </c:pt>
                  <c:pt idx="9">
                    <c:v>2.7437188539792663E-2</c:v>
                  </c:pt>
                  <c:pt idx="10">
                    <c:v>3.5506032349503128E-2</c:v>
                  </c:pt>
                  <c:pt idx="11">
                    <c:v>3.5615924242620604E-2</c:v>
                  </c:pt>
                  <c:pt idx="12">
                    <c:v>3.5308218005289695E-2</c:v>
                  </c:pt>
                  <c:pt idx="13">
                    <c:v>3.5807531246643889E-2</c:v>
                  </c:pt>
                  <c:pt idx="14">
                    <c:v>3.5489817670786697E-2</c:v>
                  </c:pt>
                  <c:pt idx="16">
                    <c:v>1.554853930001184E-2</c:v>
                  </c:pt>
                  <c:pt idx="17">
                    <c:v>1.5543642284787778E-2</c:v>
                  </c:pt>
                  <c:pt idx="18">
                    <c:v>1.5525865124293802E-2</c:v>
                  </c:pt>
                  <c:pt idx="19">
                    <c:v>1.5541964715735605E-2</c:v>
                  </c:pt>
                </c:numCache>
              </c:numRef>
            </c:plus>
            <c:minus>
              <c:numRef>
                <c:f>'Propag. Incertezas (alpha)'!$J$3:$J$22</c:f>
                <c:numCache>
                  <c:formatCode>General</c:formatCode>
                  <c:ptCount val="20"/>
                  <c:pt idx="0">
                    <c:v>4.9318648454227863E-2</c:v>
                  </c:pt>
                  <c:pt idx="1">
                    <c:v>4.1626059701074379E-2</c:v>
                  </c:pt>
                  <c:pt idx="2">
                    <c:v>3.5006443054471315E-2</c:v>
                  </c:pt>
                  <c:pt idx="3">
                    <c:v>1.572686474499899E-2</c:v>
                  </c:pt>
                  <c:pt idx="4">
                    <c:v>3.4934270432286772E-2</c:v>
                  </c:pt>
                  <c:pt idx="5">
                    <c:v>3.5413900364529016E-2</c:v>
                  </c:pt>
                  <c:pt idx="7">
                    <c:v>2.8075943599413726E-2</c:v>
                  </c:pt>
                  <c:pt idx="8">
                    <c:v>2.858541798302329E-2</c:v>
                  </c:pt>
                  <c:pt idx="9">
                    <c:v>2.7437188539792663E-2</c:v>
                  </c:pt>
                  <c:pt idx="10">
                    <c:v>3.5506032349503128E-2</c:v>
                  </c:pt>
                  <c:pt idx="11">
                    <c:v>3.5615924242620604E-2</c:v>
                  </c:pt>
                  <c:pt idx="12">
                    <c:v>3.5308218005289695E-2</c:v>
                  </c:pt>
                  <c:pt idx="13">
                    <c:v>3.5807531246643889E-2</c:v>
                  </c:pt>
                  <c:pt idx="14">
                    <c:v>3.5489817670786697E-2</c:v>
                  </c:pt>
                  <c:pt idx="16">
                    <c:v>1.554853930001184E-2</c:v>
                  </c:pt>
                  <c:pt idx="17">
                    <c:v>1.5543642284787778E-2</c:v>
                  </c:pt>
                  <c:pt idx="18">
                    <c:v>1.5525865124293802E-2</c:v>
                  </c:pt>
                  <c:pt idx="19">
                    <c:v>1.5541964715735605E-2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'Base de Dados'!$AZ$3:$AZ$8</c:f>
              <c:numCache>
                <c:formatCode>General</c:formatCode>
                <c:ptCount val="6"/>
                <c:pt idx="0">
                  <c:v>0.65248523405819703</c:v>
                </c:pt>
                <c:pt idx="1">
                  <c:v>0.50576855978424695</c:v>
                </c:pt>
                <c:pt idx="2">
                  <c:v>0.70999653043466104</c:v>
                </c:pt>
                <c:pt idx="3">
                  <c:v>0.92075002616399704</c:v>
                </c:pt>
                <c:pt idx="4">
                  <c:v>0.75257334093050199</c:v>
                </c:pt>
                <c:pt idx="5">
                  <c:v>0.45787787719705703</c:v>
                </c:pt>
              </c:numCache>
            </c:numRef>
          </c:xVal>
          <c:yVal>
            <c:numRef>
              <c:f>'Fração de Vazio'!$J$3:$J$8</c:f>
              <c:numCache>
                <c:formatCode>General</c:formatCode>
                <c:ptCount val="6"/>
                <c:pt idx="3">
                  <c:v>0.95990892044593312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E6-41DF-AED2-E7B2DC054B11}"/>
            </c:ext>
          </c:extLst>
        </c:ser>
        <c:ser>
          <c:idx val="1"/>
          <c:order val="10"/>
          <c:tx>
            <c:strRef>
              <c:f>'Fração de Vazio'!$S$27</c:f>
              <c:strCache>
                <c:ptCount val="1"/>
                <c:pt idx="0">
                  <c:v>Lockhart e Martinelli (1949)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'Propag. Incertezas (alpha)'!$J$3:$J$8</c:f>
                <c:numCache>
                  <c:formatCode>General</c:formatCode>
                  <c:ptCount val="6"/>
                  <c:pt idx="0">
                    <c:v>4.9318648454227863E-2</c:v>
                  </c:pt>
                  <c:pt idx="1">
                    <c:v>4.1626059701074379E-2</c:v>
                  </c:pt>
                  <c:pt idx="2">
                    <c:v>3.5006443054471315E-2</c:v>
                  </c:pt>
                  <c:pt idx="3">
                    <c:v>1.572686474499899E-2</c:v>
                  </c:pt>
                  <c:pt idx="4">
                    <c:v>3.4934270432286772E-2</c:v>
                  </c:pt>
                  <c:pt idx="5">
                    <c:v>3.5413900364529016E-2</c:v>
                  </c:pt>
                </c:numCache>
              </c:numRef>
            </c:plus>
            <c:minus>
              <c:numRef>
                <c:f>'Propag. Incertezas (alpha)'!$J$3:$J$8</c:f>
                <c:numCache>
                  <c:formatCode>General</c:formatCode>
                  <c:ptCount val="6"/>
                  <c:pt idx="0">
                    <c:v>4.9318648454227863E-2</c:v>
                  </c:pt>
                  <c:pt idx="1">
                    <c:v>4.1626059701074379E-2</c:v>
                  </c:pt>
                  <c:pt idx="2">
                    <c:v>3.5006443054471315E-2</c:v>
                  </c:pt>
                  <c:pt idx="3">
                    <c:v>1.572686474499899E-2</c:v>
                  </c:pt>
                  <c:pt idx="4">
                    <c:v>3.4934270432286772E-2</c:v>
                  </c:pt>
                  <c:pt idx="5">
                    <c:v>3.5413900364529016E-2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'Base de Dados'!$AZ$3:$AZ$8</c:f>
              <c:numCache>
                <c:formatCode>General</c:formatCode>
                <c:ptCount val="6"/>
                <c:pt idx="0">
                  <c:v>0.65248523405819703</c:v>
                </c:pt>
                <c:pt idx="1">
                  <c:v>0.50576855978424695</c:v>
                </c:pt>
                <c:pt idx="2">
                  <c:v>0.70999653043466104</c:v>
                </c:pt>
                <c:pt idx="3">
                  <c:v>0.92075002616399704</c:v>
                </c:pt>
                <c:pt idx="4">
                  <c:v>0.75257334093050199</c:v>
                </c:pt>
                <c:pt idx="5">
                  <c:v>0.45787787719705703</c:v>
                </c:pt>
              </c:numCache>
            </c:numRef>
          </c:xVal>
          <c:yVal>
            <c:numRef>
              <c:f>'Fração de Vazio'!$K$3:$K$8</c:f>
              <c:numCache>
                <c:formatCode>General</c:formatCode>
                <c:ptCount val="6"/>
                <c:pt idx="3">
                  <c:v>0.92156526490335489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E6-41DF-AED2-E7B2DC054B11}"/>
            </c:ext>
          </c:extLst>
        </c:ser>
        <c:ser>
          <c:idx val="6"/>
          <c:order val="11"/>
          <c:tx>
            <c:strRef>
              <c:f>'Fração de Vazio'!$S$33</c:f>
              <c:strCache>
                <c:ptCount val="1"/>
                <c:pt idx="0">
                  <c:v>Abdul-Majeed (1996)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2">
                  <a:lumMod val="9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'Propag. Incertezas (alpha)'!$J$3:$J$8</c:f>
                <c:numCache>
                  <c:formatCode>General</c:formatCode>
                  <c:ptCount val="6"/>
                  <c:pt idx="0">
                    <c:v>4.9318648454227863E-2</c:v>
                  </c:pt>
                  <c:pt idx="1">
                    <c:v>4.1626059701074379E-2</c:v>
                  </c:pt>
                  <c:pt idx="2">
                    <c:v>3.5006443054471315E-2</c:v>
                  </c:pt>
                  <c:pt idx="3">
                    <c:v>1.572686474499899E-2</c:v>
                  </c:pt>
                  <c:pt idx="4">
                    <c:v>3.4934270432286772E-2</c:v>
                  </c:pt>
                  <c:pt idx="5">
                    <c:v>3.5413900364529016E-2</c:v>
                  </c:pt>
                </c:numCache>
              </c:numRef>
            </c:plus>
            <c:minus>
              <c:numRef>
                <c:f>'Propag. Incertezas (alpha)'!$J$3:$J$8</c:f>
                <c:numCache>
                  <c:formatCode>General</c:formatCode>
                  <c:ptCount val="6"/>
                  <c:pt idx="0">
                    <c:v>4.9318648454227863E-2</c:v>
                  </c:pt>
                  <c:pt idx="1">
                    <c:v>4.1626059701074379E-2</c:v>
                  </c:pt>
                  <c:pt idx="2">
                    <c:v>3.5006443054471315E-2</c:v>
                  </c:pt>
                  <c:pt idx="3">
                    <c:v>1.572686474499899E-2</c:v>
                  </c:pt>
                  <c:pt idx="4">
                    <c:v>3.4934270432286772E-2</c:v>
                  </c:pt>
                  <c:pt idx="5">
                    <c:v>3.5413900364529016E-2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'Base de Dados'!$AZ$3:$AZ$8</c:f>
              <c:numCache>
                <c:formatCode>General</c:formatCode>
                <c:ptCount val="6"/>
                <c:pt idx="0">
                  <c:v>0.65248523405819703</c:v>
                </c:pt>
                <c:pt idx="1">
                  <c:v>0.50576855978424695</c:v>
                </c:pt>
                <c:pt idx="2">
                  <c:v>0.70999653043466104</c:v>
                </c:pt>
                <c:pt idx="3">
                  <c:v>0.92075002616399704</c:v>
                </c:pt>
                <c:pt idx="4">
                  <c:v>0.75257334093050199</c:v>
                </c:pt>
                <c:pt idx="5">
                  <c:v>0.45787787719705703</c:v>
                </c:pt>
              </c:numCache>
            </c:numRef>
          </c:xVal>
          <c:yVal>
            <c:numRef>
              <c:f>'Fração de Vazio'!$Z$3:$Z$8</c:f>
              <c:numCache>
                <c:formatCode>General</c:formatCode>
                <c:ptCount val="6"/>
                <c:pt idx="2">
                  <c:v>0.73573139074017702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E6-41DF-AED2-E7B2DC054B11}"/>
            </c:ext>
          </c:extLst>
        </c:ser>
        <c:ser>
          <c:idx val="12"/>
          <c:order val="1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'Fração de Vazio'!$K$30:$K$31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'Fração de Vazio'!$L$30:$L$31</c:f>
              <c:numCache>
                <c:formatCode>General</c:formatCode>
                <c:ptCount val="2"/>
                <c:pt idx="0">
                  <c:v>0</c:v>
                </c:pt>
                <c:pt idx="1">
                  <c:v>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E6-41DF-AED2-E7B2DC054B11}"/>
            </c:ext>
          </c:extLst>
        </c:ser>
        <c:ser>
          <c:idx val="13"/>
          <c:order val="13"/>
          <c:tx>
            <c:v>+/- 8%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'Fração de Vazio'!$K$33:$K$34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'Fração de Vazio'!$L$33:$L$34</c:f>
              <c:numCache>
                <c:formatCode>General</c:formatCode>
                <c:ptCount val="2"/>
                <c:pt idx="0">
                  <c:v>0</c:v>
                </c:pt>
                <c:pt idx="1">
                  <c:v>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E6-41DF-AED2-E7B2DC054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41920"/>
        <c:axId val="521141560"/>
      </c:scatterChart>
      <c:valAx>
        <c:axId val="521141920"/>
        <c:scaling>
          <c:orientation val="minMax"/>
          <c:max val="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Experimental Void Fraction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1141560"/>
        <c:crosses val="autoZero"/>
        <c:crossBetween val="midCat"/>
      </c:valAx>
      <c:valAx>
        <c:axId val="521141560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Predicted Void Fraction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1141920"/>
        <c:crosses val="autoZero"/>
        <c:crossBetween val="midCat"/>
        <c:maj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egendEntry>
        <c:idx val="8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59617795296978615"/>
          <c:y val="4.2412882276834193E-2"/>
          <c:w val="0.38245943486318584"/>
          <c:h val="0.7555284765553600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chart" Target="../charts/chart2.xml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54</xdr:col>
      <xdr:colOff>88901</xdr:colOff>
      <xdr:row>2</xdr:row>
      <xdr:rowOff>63500</xdr:rowOff>
    </xdr:from>
    <xdr:to>
      <xdr:col>61</xdr:col>
      <xdr:colOff>158751</xdr:colOff>
      <xdr:row>16</xdr:row>
      <xdr:rowOff>85791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C688C60-3BFC-4E5B-8DEA-BF285651E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22851" y="463550"/>
          <a:ext cx="5137150" cy="2600391"/>
        </a:xfrm>
        <a:prstGeom prst="rect">
          <a:avLst/>
        </a:prstGeom>
      </xdr:spPr>
    </xdr:pic>
    <xdr:clientData/>
  </xdr:twoCellAnchor>
  <xdr:twoCellAnchor>
    <xdr:from>
      <xdr:col>56</xdr:col>
      <xdr:colOff>257175</xdr:colOff>
      <xdr:row>20</xdr:row>
      <xdr:rowOff>123825</xdr:rowOff>
    </xdr:from>
    <xdr:to>
      <xdr:col>63</xdr:col>
      <xdr:colOff>517525</xdr:colOff>
      <xdr:row>35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4ED45A5-3BE5-422E-B2E6-AC953199F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266700</xdr:colOff>
      <xdr:row>1</xdr:row>
      <xdr:rowOff>95250</xdr:rowOff>
    </xdr:from>
    <xdr:to>
      <xdr:col>8</xdr:col>
      <xdr:colOff>607501</xdr:colOff>
      <xdr:row>4</xdr:row>
      <xdr:rowOff>135181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EA4A806-650C-4451-A9F3-94EA0A9D2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6900" y="285750"/>
          <a:ext cx="1560001" cy="59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192405</xdr:colOff>
      <xdr:row>1</xdr:row>
      <xdr:rowOff>59055</xdr:rowOff>
    </xdr:from>
    <xdr:to>
      <xdr:col>17</xdr:col>
      <xdr:colOff>556062</xdr:colOff>
      <xdr:row>4</xdr:row>
      <xdr:rowOff>135179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0790F0A-A34E-4D8D-A92B-431C5227A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69955" y="249555"/>
          <a:ext cx="1582857" cy="6285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587375</xdr:colOff>
      <xdr:row>20</xdr:row>
      <xdr:rowOff>171450</xdr:rowOff>
    </xdr:from>
    <xdr:to>
      <xdr:col>14</xdr:col>
      <xdr:colOff>663575</xdr:colOff>
      <xdr:row>34</xdr:row>
      <xdr:rowOff>168275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D40365-B5F2-41BC-A9A6-875CBBEA7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1009650</xdr:colOff>
      <xdr:row>33</xdr:row>
      <xdr:rowOff>19050</xdr:rowOff>
    </xdr:from>
    <xdr:to>
      <xdr:col>10</xdr:col>
      <xdr:colOff>635270</xdr:colOff>
      <xdr:row>51</xdr:row>
      <xdr:rowOff>6520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1E18CE2-1E8C-42AD-AFA1-B6C755F4F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88200" y="6096000"/>
          <a:ext cx="5245370" cy="330217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0</xdr:colOff>
      <xdr:row>41</xdr:row>
      <xdr:rowOff>114300</xdr:rowOff>
    </xdr:from>
    <xdr:to>
      <xdr:col>5</xdr:col>
      <xdr:colOff>889986</xdr:colOff>
      <xdr:row>45</xdr:row>
      <xdr:rowOff>120754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507E6CCA-2560-4F3E-99AA-2E34BE526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664450"/>
          <a:ext cx="7068536" cy="743054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 editAs="oneCell">
    <xdr:from>
      <xdr:col>5</xdr:col>
      <xdr:colOff>349250</xdr:colOff>
      <xdr:row>53</xdr:row>
      <xdr:rowOff>19050</xdr:rowOff>
    </xdr:from>
    <xdr:to>
      <xdr:col>11</xdr:col>
      <xdr:colOff>550244</xdr:colOff>
      <xdr:row>57</xdr:row>
      <xdr:rowOff>44556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81F36288-748D-46BE-BFC2-E1715150C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27800" y="9779000"/>
          <a:ext cx="6944694" cy="762106"/>
        </a:xfrm>
        <a:prstGeom prst="rect">
          <a:avLst/>
        </a:prstGeom>
      </xdr:spPr>
    </xdr:pic>
    <xdr:clientData/>
  </xdr:twoCellAnchor>
  <xdr:twoCellAnchor>
    <xdr:from>
      <xdr:col>5</xdr:col>
      <xdr:colOff>381000</xdr:colOff>
      <xdr:row>54</xdr:row>
      <xdr:rowOff>107950</xdr:rowOff>
    </xdr:from>
    <xdr:to>
      <xdr:col>5</xdr:col>
      <xdr:colOff>977900</xdr:colOff>
      <xdr:row>57</xdr:row>
      <xdr:rowOff>19050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5FF5AE97-EED3-4029-982C-724B21E284A3}"/>
            </a:ext>
          </a:extLst>
        </xdr:cNvPr>
        <xdr:cNvSpPr/>
      </xdr:nvSpPr>
      <xdr:spPr>
        <a:xfrm>
          <a:off x="6559550" y="10052050"/>
          <a:ext cx="596900" cy="463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890486</xdr:colOff>
      <xdr:row>50</xdr:row>
      <xdr:rowOff>31750</xdr:rowOff>
    </xdr:from>
    <xdr:to>
      <xdr:col>8</xdr:col>
      <xdr:colOff>584200</xdr:colOff>
      <xdr:row>54</xdr:row>
      <xdr:rowOff>175835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A2C2A018-069E-45DE-AB1D-EE2BFB2B27BF}"/>
            </a:ext>
          </a:extLst>
        </xdr:cNvPr>
        <xdr:cNvCxnSpPr>
          <a:cxnSpLocks/>
          <a:stCxn id="11" idx="7"/>
        </xdr:cNvCxnSpPr>
      </xdr:nvCxnSpPr>
      <xdr:spPr>
        <a:xfrm flipV="1">
          <a:off x="7069036" y="9239250"/>
          <a:ext cx="3065564" cy="88068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590550</xdr:colOff>
      <xdr:row>48</xdr:row>
      <xdr:rowOff>82550</xdr:rowOff>
    </xdr:from>
    <xdr:to>
      <xdr:col>8</xdr:col>
      <xdr:colOff>971550</xdr:colOff>
      <xdr:row>50</xdr:row>
      <xdr:rowOff>38100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88AEF20D-4CD9-4E34-972B-7CB91ED381EE}"/>
            </a:ext>
          </a:extLst>
        </xdr:cNvPr>
        <xdr:cNvSpPr/>
      </xdr:nvSpPr>
      <xdr:spPr>
        <a:xfrm>
          <a:off x="10140950" y="8921750"/>
          <a:ext cx="381000" cy="3238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977900</xdr:colOff>
      <xdr:row>37</xdr:row>
      <xdr:rowOff>57150</xdr:rowOff>
    </xdr:from>
    <xdr:to>
      <xdr:col>8</xdr:col>
      <xdr:colOff>1041400</xdr:colOff>
      <xdr:row>40</xdr:row>
      <xdr:rowOff>82550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87043395-6243-42C4-80B7-25A2E25DBBEA}"/>
            </a:ext>
          </a:extLst>
        </xdr:cNvPr>
        <xdr:cNvSpPr/>
      </xdr:nvSpPr>
      <xdr:spPr>
        <a:xfrm>
          <a:off x="8280400" y="6870700"/>
          <a:ext cx="2311400" cy="5778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977900</xdr:colOff>
      <xdr:row>37</xdr:row>
      <xdr:rowOff>57150</xdr:rowOff>
    </xdr:from>
    <xdr:to>
      <xdr:col>8</xdr:col>
      <xdr:colOff>1047750</xdr:colOff>
      <xdr:row>40</xdr:row>
      <xdr:rowOff>69850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6D55E3B2-0DA2-4004-A2BB-6DC0146AF3ED}"/>
            </a:ext>
          </a:extLst>
        </xdr:cNvPr>
        <xdr:cNvCxnSpPr/>
      </xdr:nvCxnSpPr>
      <xdr:spPr>
        <a:xfrm>
          <a:off x="8280400" y="6870700"/>
          <a:ext cx="2317750" cy="5651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977900</xdr:colOff>
      <xdr:row>37</xdr:row>
      <xdr:rowOff>44450</xdr:rowOff>
    </xdr:from>
    <xdr:to>
      <xdr:col>8</xdr:col>
      <xdr:colOff>1035050</xdr:colOff>
      <xdr:row>40</xdr:row>
      <xdr:rowOff>82550</xdr:rowOff>
    </xdr:to>
    <xdr:cxnSp macro="">
      <xdr:nvCxnSpPr>
        <xdr:cNvPr id="18" name="Conector reto 17">
          <a:extLst>
            <a:ext uri="{FF2B5EF4-FFF2-40B4-BE49-F238E27FC236}">
              <a16:creationId xmlns:a16="http://schemas.microsoft.com/office/drawing/2014/main" id="{0FDA7DD6-B045-448B-9D66-1B6A39649873}"/>
            </a:ext>
          </a:extLst>
        </xdr:cNvPr>
        <xdr:cNvCxnSpPr/>
      </xdr:nvCxnSpPr>
      <xdr:spPr>
        <a:xfrm flipV="1">
          <a:off x="8280400" y="6858000"/>
          <a:ext cx="2305050" cy="5905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695325</xdr:colOff>
      <xdr:row>23</xdr:row>
      <xdr:rowOff>178117</xdr:rowOff>
    </xdr:from>
    <xdr:to>
      <xdr:col>17</xdr:col>
      <xdr:colOff>697230</xdr:colOff>
      <xdr:row>39</xdr:row>
      <xdr:rowOff>21907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C78E21-D35F-91C6-1FA7-333C3A009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paga&#231;&#227;o%20de%20Incertezas_Gradiente%20de%20Press&#227;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dos (TSR)"/>
      <sheetName val="Base de Dados (TCR)"/>
      <sheetName val="Planilha1"/>
      <sheetName val="Valor RMS"/>
      <sheetName val="RMS Value (paper)"/>
      <sheetName val="Revisão da Literatura"/>
      <sheetName val="Deslizamento (S)"/>
      <sheetName val="Propag. Incertezas (alpha)"/>
      <sheetName val="Propag. Incertezas (dP_dz)"/>
      <sheetName val="Propag. Incertezas (K_rest)"/>
      <sheetName val="Propag. Incertezas (Jl, Jg)"/>
      <sheetName val="Fração de Vazio"/>
      <sheetName val="Gradiente de Pressão"/>
      <sheetName val="Frequência Slugs"/>
      <sheetName val="Caracterização Pistonado"/>
    </sheetNames>
    <sheetDataSet>
      <sheetData sheetId="0">
        <row r="3">
          <cell r="O3">
            <v>2.2934455757800571</v>
          </cell>
          <cell r="AC3">
            <v>5.33E-2</v>
          </cell>
          <cell r="AK3">
            <v>2.666765843112624</v>
          </cell>
        </row>
        <row r="4">
          <cell r="O4">
            <v>3.0243202704830785</v>
          </cell>
          <cell r="AC4">
            <v>5.33E-2</v>
          </cell>
          <cell r="AK4">
            <v>2.3454687535809828</v>
          </cell>
        </row>
        <row r="5">
          <cell r="O5">
            <v>3.8554047299792749</v>
          </cell>
          <cell r="AC5">
            <v>5.33E-2</v>
          </cell>
          <cell r="AK5">
            <v>2.0241716640493412</v>
          </cell>
        </row>
        <row r="6">
          <cell r="O6">
            <v>4.7667443451908476</v>
          </cell>
          <cell r="AC6">
            <v>5.33E-2</v>
          </cell>
          <cell r="AK6">
            <v>1.6707448655645354</v>
          </cell>
        </row>
        <row r="7">
          <cell r="O7">
            <v>5.5060414222428014</v>
          </cell>
          <cell r="AC7">
            <v>5.33E-2</v>
          </cell>
          <cell r="AK7">
            <v>1.1245398133607452</v>
          </cell>
        </row>
        <row r="8">
          <cell r="O8">
            <v>5.6567319872715975</v>
          </cell>
          <cell r="AC8">
            <v>5.33E-2</v>
          </cell>
          <cell r="AK8">
            <v>0.80324272382910367</v>
          </cell>
        </row>
        <row r="10">
          <cell r="O10">
            <v>5.7101814264638726</v>
          </cell>
          <cell r="AK10">
            <v>4.6909375071619657</v>
          </cell>
        </row>
        <row r="11">
          <cell r="O11">
            <v>5.4458624206061979</v>
          </cell>
          <cell r="AK11">
            <v>4.0483433280986825</v>
          </cell>
        </row>
        <row r="12">
          <cell r="O12">
            <v>5.6094782588606353</v>
          </cell>
          <cell r="AK12">
            <v>3.3414897311290708</v>
          </cell>
        </row>
        <row r="13">
          <cell r="O13">
            <v>5.7279059305155409</v>
          </cell>
          <cell r="AK13">
            <v>2.2490796267214903</v>
          </cell>
        </row>
        <row r="14">
          <cell r="O14">
            <v>5.759510422399476</v>
          </cell>
          <cell r="AK14">
            <v>1.6064854476582073</v>
          </cell>
        </row>
        <row r="15">
          <cell r="O15">
            <v>5.6410670765618125</v>
          </cell>
          <cell r="AK15">
            <v>10.667063372450496</v>
          </cell>
        </row>
        <row r="16">
          <cell r="O16">
            <v>5.635893447398777</v>
          </cell>
          <cell r="AK16">
            <v>9.3818750143239313</v>
          </cell>
        </row>
        <row r="17">
          <cell r="O17">
            <v>5.7416627366921338</v>
          </cell>
          <cell r="AK17">
            <v>8.0966866561973649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C4">
            <v>7.5</v>
          </cell>
        </row>
        <row r="5">
          <cell r="C5">
            <v>7.5</v>
          </cell>
        </row>
        <row r="6">
          <cell r="C6">
            <v>7.5</v>
          </cell>
        </row>
        <row r="7">
          <cell r="C7">
            <v>7.5</v>
          </cell>
        </row>
        <row r="8">
          <cell r="C8">
            <v>7.5</v>
          </cell>
        </row>
        <row r="9">
          <cell r="C9">
            <v>7.5</v>
          </cell>
        </row>
        <row r="11">
          <cell r="C11">
            <v>7.5</v>
          </cell>
        </row>
        <row r="12">
          <cell r="C12">
            <v>7.5</v>
          </cell>
        </row>
        <row r="13">
          <cell r="C13">
            <v>7.5</v>
          </cell>
        </row>
        <row r="14">
          <cell r="C14">
            <v>7.5</v>
          </cell>
        </row>
        <row r="15">
          <cell r="C15">
            <v>7.5</v>
          </cell>
        </row>
        <row r="16">
          <cell r="C16">
            <v>7.5</v>
          </cell>
        </row>
        <row r="17">
          <cell r="C17">
            <v>7.5</v>
          </cell>
        </row>
        <row r="18">
          <cell r="C18">
            <v>7.5</v>
          </cell>
        </row>
      </sheetData>
      <sheetData sheetId="9"/>
      <sheetData sheetId="10"/>
      <sheetData sheetId="11"/>
      <sheetData sheetId="12">
        <row r="3">
          <cell r="C3">
            <v>1.75</v>
          </cell>
        </row>
        <row r="4">
          <cell r="C4">
            <v>1.75</v>
          </cell>
        </row>
        <row r="5">
          <cell r="C5">
            <v>1.75</v>
          </cell>
        </row>
        <row r="6">
          <cell r="C6">
            <v>1.75</v>
          </cell>
        </row>
        <row r="7">
          <cell r="C7">
            <v>1.75</v>
          </cell>
        </row>
        <row r="8">
          <cell r="C8">
            <v>1.75</v>
          </cell>
        </row>
        <row r="10">
          <cell r="C10">
            <v>1.75</v>
          </cell>
        </row>
        <row r="11">
          <cell r="C11">
            <v>1.75</v>
          </cell>
        </row>
        <row r="12">
          <cell r="C12">
            <v>1.75</v>
          </cell>
        </row>
        <row r="13">
          <cell r="C13">
            <v>1.75</v>
          </cell>
        </row>
        <row r="14">
          <cell r="C14">
            <v>1.75</v>
          </cell>
        </row>
        <row r="15">
          <cell r="C15">
            <v>1.75</v>
          </cell>
        </row>
        <row r="16">
          <cell r="C16">
            <v>1.75</v>
          </cell>
        </row>
        <row r="17">
          <cell r="C17">
            <v>1.75</v>
          </cell>
        </row>
      </sheetData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BY28"/>
  <sheetViews>
    <sheetView tabSelected="1" workbookViewId="0">
      <selection activeCell="L30" sqref="L30"/>
    </sheetView>
  </sheetViews>
  <sheetFormatPr defaultRowHeight="14.5" x14ac:dyDescent="0.35"/>
  <cols>
    <col min="1" max="1" width="24.08984375" bestFit="1" customWidth="1"/>
    <col min="2" max="2" width="20.26953125" bestFit="1" customWidth="1"/>
    <col min="8" max="8" width="0.81640625" customWidth="1"/>
    <col min="9" max="9" width="7.6328125" bestFit="1" customWidth="1"/>
    <col min="10" max="10" width="6.54296875" bestFit="1" customWidth="1"/>
    <col min="11" max="11" width="12.08984375" bestFit="1" customWidth="1"/>
    <col min="12" max="12" width="12" bestFit="1" customWidth="1"/>
    <col min="13" max="13" width="1.1796875" customWidth="1"/>
    <col min="14" max="14" width="7.6328125" bestFit="1" customWidth="1"/>
    <col min="15" max="15" width="6.54296875" bestFit="1" customWidth="1"/>
    <col min="16" max="16" width="13.1796875" bestFit="1" customWidth="1"/>
    <col min="17" max="17" width="12" bestFit="1" customWidth="1"/>
    <col min="18" max="18" width="12.81640625" bestFit="1" customWidth="1"/>
    <col min="19" max="19" width="13.54296875" bestFit="1" customWidth="1"/>
    <col min="20" max="20" width="11.1796875" customWidth="1"/>
    <col min="21" max="22" width="12" bestFit="1" customWidth="1"/>
    <col min="23" max="23" width="12.81640625" bestFit="1" customWidth="1"/>
    <col min="24" max="25" width="12.81640625" customWidth="1"/>
    <col min="26" max="26" width="13.1796875" bestFit="1" customWidth="1"/>
    <col min="27" max="27" width="10.81640625" bestFit="1" customWidth="1"/>
    <col min="28" max="29" width="12" bestFit="1" customWidth="1"/>
    <col min="30" max="30" width="11.1796875" bestFit="1" customWidth="1"/>
    <col min="31" max="31" width="12" bestFit="1" customWidth="1"/>
    <col min="32" max="32" width="14.54296875" bestFit="1" customWidth="1"/>
    <col min="33" max="33" width="13.54296875" bestFit="1" customWidth="1"/>
    <col min="34" max="34" width="11.1796875" bestFit="1" customWidth="1"/>
    <col min="35" max="35" width="13.1796875" bestFit="1" customWidth="1"/>
    <col min="36" max="36" width="10.81640625" bestFit="1" customWidth="1"/>
    <col min="37" max="38" width="12" bestFit="1" customWidth="1"/>
    <col min="39" max="39" width="12.08984375" bestFit="1" customWidth="1"/>
    <col min="40" max="44" width="12" bestFit="1" customWidth="1"/>
    <col min="45" max="45" width="7" bestFit="1" customWidth="1"/>
    <col min="46" max="46" width="11.81640625" bestFit="1" customWidth="1"/>
    <col min="47" max="47" width="11.81640625" customWidth="1"/>
    <col min="48" max="49" width="12" bestFit="1" customWidth="1"/>
    <col min="50" max="50" width="12" customWidth="1"/>
    <col min="51" max="51" width="12" bestFit="1" customWidth="1"/>
    <col min="52" max="52" width="15.6328125" bestFit="1" customWidth="1"/>
    <col min="53" max="54" width="11.81640625" bestFit="1" customWidth="1"/>
    <col min="55" max="55" width="8.81640625" customWidth="1"/>
    <col min="56" max="56" width="19.6328125" bestFit="1" customWidth="1"/>
    <col min="57" max="71" width="8.81640625" customWidth="1"/>
    <col min="72" max="90" width="8.453125" customWidth="1"/>
  </cols>
  <sheetData>
    <row r="1" spans="1:77" ht="15" thickBot="1" x14ac:dyDescent="0.4">
      <c r="A1" s="84" t="s">
        <v>0</v>
      </c>
      <c r="B1" s="88" t="s">
        <v>107</v>
      </c>
      <c r="C1" s="85" t="s">
        <v>1</v>
      </c>
      <c r="D1" s="85"/>
      <c r="E1" s="85"/>
      <c r="F1" s="85"/>
      <c r="G1" s="85"/>
      <c r="I1" s="85" t="s">
        <v>51</v>
      </c>
      <c r="J1" s="85"/>
      <c r="K1" s="85"/>
      <c r="L1" s="85"/>
      <c r="N1" s="86" t="s">
        <v>11</v>
      </c>
      <c r="O1" s="86"/>
      <c r="P1" s="86"/>
      <c r="Q1" s="86"/>
      <c r="R1" s="87" t="s">
        <v>15</v>
      </c>
      <c r="S1" s="87"/>
      <c r="T1" s="87"/>
      <c r="U1" s="87"/>
      <c r="V1" s="87"/>
      <c r="W1" s="82" t="s">
        <v>21</v>
      </c>
      <c r="X1" s="82"/>
      <c r="Y1" s="82"/>
      <c r="Z1" s="82"/>
      <c r="AA1" s="82"/>
      <c r="AB1" s="82"/>
      <c r="AC1" s="82"/>
      <c r="AD1" s="83" t="s">
        <v>26</v>
      </c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20"/>
      <c r="AV1" s="13"/>
      <c r="AX1" s="1" t="s">
        <v>73</v>
      </c>
      <c r="AY1" s="8">
        <v>2E-3</v>
      </c>
      <c r="AZ1" s="13"/>
      <c r="BA1" s="13"/>
      <c r="BB1" s="13"/>
      <c r="BC1" s="13"/>
      <c r="BD1" s="13"/>
      <c r="BE1" s="13"/>
      <c r="BF1" s="13"/>
      <c r="BG1" s="13"/>
    </row>
    <row r="2" spans="1:77" ht="16.5" x14ac:dyDescent="0.45">
      <c r="A2" s="84"/>
      <c r="B2" s="89"/>
      <c r="C2" s="2" t="s">
        <v>2</v>
      </c>
      <c r="D2" s="3" t="s">
        <v>3</v>
      </c>
      <c r="E2" s="3" t="s">
        <v>4</v>
      </c>
      <c r="F2" s="3" t="s">
        <v>5</v>
      </c>
      <c r="G2" s="4" t="s">
        <v>6</v>
      </c>
      <c r="I2" s="7" t="s">
        <v>7</v>
      </c>
      <c r="J2" s="7" t="s">
        <v>8</v>
      </c>
      <c r="K2" s="1" t="s">
        <v>9</v>
      </c>
      <c r="L2" s="1" t="s">
        <v>10</v>
      </c>
      <c r="N2" s="7" t="s">
        <v>12</v>
      </c>
      <c r="O2" s="7" t="s">
        <v>13</v>
      </c>
      <c r="P2" s="1" t="s">
        <v>14</v>
      </c>
      <c r="Q2" s="1" t="s">
        <v>10</v>
      </c>
      <c r="R2" s="1" t="s">
        <v>16</v>
      </c>
      <c r="S2" s="12" t="s">
        <v>17</v>
      </c>
      <c r="T2" s="12" t="s">
        <v>18</v>
      </c>
      <c r="U2" s="1" t="s">
        <v>19</v>
      </c>
      <c r="V2" s="1" t="s">
        <v>20</v>
      </c>
      <c r="W2" s="1" t="s">
        <v>16</v>
      </c>
      <c r="X2" s="7" t="s">
        <v>177</v>
      </c>
      <c r="Y2" s="7" t="s">
        <v>178</v>
      </c>
      <c r="Z2" s="12" t="s">
        <v>22</v>
      </c>
      <c r="AA2" s="12" t="s">
        <v>23</v>
      </c>
      <c r="AB2" s="1" t="s">
        <v>24</v>
      </c>
      <c r="AC2" s="1" t="s">
        <v>25</v>
      </c>
      <c r="AD2" s="1" t="s">
        <v>27</v>
      </c>
      <c r="AE2" s="1" t="s">
        <v>28</v>
      </c>
      <c r="AF2" s="1" t="s">
        <v>29</v>
      </c>
      <c r="AG2" s="12" t="s">
        <v>17</v>
      </c>
      <c r="AH2" s="12" t="s">
        <v>18</v>
      </c>
      <c r="AI2" s="12" t="s">
        <v>22</v>
      </c>
      <c r="AJ2" s="12" t="s">
        <v>23</v>
      </c>
      <c r="AK2" s="1" t="s">
        <v>30</v>
      </c>
      <c r="AL2" s="1" t="s">
        <v>31</v>
      </c>
      <c r="AM2" s="1" t="s">
        <v>32</v>
      </c>
      <c r="AN2" s="9" t="s">
        <v>33</v>
      </c>
      <c r="AO2" s="9" t="s">
        <v>34</v>
      </c>
      <c r="AP2" s="1" t="s">
        <v>35</v>
      </c>
      <c r="AQ2" s="1" t="s">
        <v>36</v>
      </c>
      <c r="AR2" s="1" t="s">
        <v>37</v>
      </c>
      <c r="AS2" s="1" t="s">
        <v>38</v>
      </c>
      <c r="AT2" s="1" t="s">
        <v>39</v>
      </c>
      <c r="AU2" s="1" t="s">
        <v>100</v>
      </c>
      <c r="AV2" s="1" t="s">
        <v>70</v>
      </c>
      <c r="AW2" s="1" t="s">
        <v>71</v>
      </c>
      <c r="AX2" s="1" t="s">
        <v>74</v>
      </c>
      <c r="AY2" s="1" t="s">
        <v>72</v>
      </c>
      <c r="AZ2" s="16" t="s">
        <v>114</v>
      </c>
      <c r="BA2" s="42" t="s">
        <v>144</v>
      </c>
      <c r="BB2" s="32" t="s">
        <v>145</v>
      </c>
      <c r="BC2" s="14"/>
      <c r="BD2" s="16" t="s">
        <v>204</v>
      </c>
      <c r="BE2" s="14"/>
      <c r="BF2" s="14"/>
      <c r="BG2" s="14"/>
      <c r="BH2" s="14"/>
      <c r="BI2" s="14"/>
      <c r="BJ2" s="14"/>
      <c r="BK2" s="14"/>
      <c r="BL2" s="14"/>
      <c r="BO2" s="14"/>
      <c r="BP2" s="14"/>
      <c r="BQ2" s="14"/>
      <c r="BR2" s="14"/>
      <c r="BT2" s="14"/>
      <c r="BU2" s="14"/>
      <c r="BV2" s="14"/>
      <c r="BW2" s="14"/>
      <c r="BX2" s="14"/>
      <c r="BY2" s="14"/>
    </row>
    <row r="3" spans="1:77" x14ac:dyDescent="0.35">
      <c r="A3" s="5" t="s">
        <v>101</v>
      </c>
      <c r="B3" s="25" t="s">
        <v>108</v>
      </c>
      <c r="C3" s="70">
        <v>1</v>
      </c>
      <c r="D3" s="21">
        <f>+F3/E3</f>
        <v>0.89795918367346939</v>
      </c>
      <c r="E3" s="43">
        <f>+F3+G3</f>
        <v>0.98</v>
      </c>
      <c r="F3" s="21">
        <v>0.88</v>
      </c>
      <c r="G3" s="21">
        <v>0.1</v>
      </c>
      <c r="I3" s="70">
        <v>0.29495408400000001</v>
      </c>
      <c r="J3" s="70">
        <v>28.163796083333299</v>
      </c>
      <c r="K3" s="70">
        <f>+F3*3600*(PI()/4*0.0533^2)</f>
        <v>7.0685359696961116</v>
      </c>
      <c r="L3" s="70">
        <f>+G3*3600*(PI()/4*0.0533^2)</f>
        <v>0.80324272382910367</v>
      </c>
      <c r="N3" s="8">
        <v>7.8554985186666704</v>
      </c>
      <c r="O3" s="8">
        <v>28.345723097333298</v>
      </c>
      <c r="P3" s="8">
        <f>+K3*((I3+1)/(N3+1))*((O3+273)/(J3+273))</f>
        <v>1.0342680206986952</v>
      </c>
      <c r="Q3" s="8">
        <f>+L3</f>
        <v>0.80324272382910367</v>
      </c>
      <c r="R3" s="8">
        <f t="shared" ref="R3:R8" si="0">+IF(P3&lt;17,0.5,2)</f>
        <v>0.5</v>
      </c>
      <c r="S3" s="61">
        <v>10.25</v>
      </c>
      <c r="T3" s="27">
        <v>1.8729999999999999E-5</v>
      </c>
      <c r="U3" s="8">
        <f t="shared" ref="U3:U8" si="1">+P3*S3</f>
        <v>10.601247212161626</v>
      </c>
      <c r="V3" s="8">
        <f t="shared" ref="V3:V8" si="2">+(P3/3600)/(PI()/4*(R3*25.4/1000)^2)</f>
        <v>2.2679489391237051</v>
      </c>
      <c r="W3" s="8">
        <f t="shared" ref="W3:W8" si="3">+IF(Q3&lt;10,1,2)</f>
        <v>1</v>
      </c>
      <c r="X3" s="8"/>
      <c r="Y3" s="8"/>
      <c r="Z3" s="27">
        <v>996.2</v>
      </c>
      <c r="AA3" s="27">
        <v>8.2850000000000003E-4</v>
      </c>
      <c r="AB3" s="8">
        <f t="shared" ref="AB3:AB8" si="4">+Q3*Z3</f>
        <v>800.1904014785531</v>
      </c>
      <c r="AC3" s="8">
        <f t="shared" ref="AC3:AC8" si="5">+(Q3/3600)/(PI()/4*(W3*25.4/1000)^2)</f>
        <v>0.44033883067766139</v>
      </c>
      <c r="AD3" s="8">
        <v>5.33E-2</v>
      </c>
      <c r="AE3" s="8">
        <f>+U3+AB3</f>
        <v>810.79164869071474</v>
      </c>
      <c r="AF3" s="8">
        <f>+AE3/(PI()/4*AD3^2)</f>
        <v>363383.30229401268</v>
      </c>
      <c r="AG3" s="27">
        <v>1.4970000000000001</v>
      </c>
      <c r="AH3" s="27">
        <v>1.8600000000000001E-5</v>
      </c>
      <c r="AI3" s="27">
        <v>996.2</v>
      </c>
      <c r="AJ3" s="27">
        <v>8.2989999999999995E-4</v>
      </c>
      <c r="AK3" s="8">
        <f>+U3/AG3</f>
        <v>7.081661464369823</v>
      </c>
      <c r="AL3" s="8">
        <f>+AB3/AI3</f>
        <v>0.80324272382910367</v>
      </c>
      <c r="AM3" s="8">
        <f>+AK3+AL3</f>
        <v>7.8849041881989264</v>
      </c>
      <c r="AN3" s="11">
        <f>+(AK3/3600)/(PI()/4*AD3^2)</f>
        <v>0.88163406331415495</v>
      </c>
      <c r="AO3" s="11">
        <f>+(AL3/3600)/(PI()/4*AD3^2)</f>
        <v>0.1</v>
      </c>
      <c r="AP3" s="8">
        <f>+AN3+AO3</f>
        <v>0.98163406331415493</v>
      </c>
      <c r="AQ3" s="8">
        <f>+U3/(U3+AB3)</f>
        <v>1.3075180571088476E-2</v>
      </c>
      <c r="AR3" s="8">
        <f>+AK3/AM3</f>
        <v>0.89812904448080799</v>
      </c>
      <c r="AS3" s="8">
        <f>4*(PI()/4*AD3^2)/(PI()*AD3)</f>
        <v>5.3299999999999993E-2</v>
      </c>
      <c r="AT3" s="8">
        <v>7.4999999999999997E-2</v>
      </c>
      <c r="AU3" s="8">
        <f>+AS3/(AT3/(9.81*(AI3-AG3)))^0.5</f>
        <v>19.225506708059374</v>
      </c>
      <c r="AV3" s="8">
        <f>+AG3*((AK3/3600)/(PI()/4*AD3^2))*AD3/AH3</f>
        <v>3782.0252728625132</v>
      </c>
      <c r="AW3" s="8">
        <f>+AI3*((AL3/3600)/(PI()/4*AD3^2))*AD3/AJ3</f>
        <v>6398.0551873719733</v>
      </c>
      <c r="AX3" s="8">
        <f>+(AQ3^2+(1-AQ3)^2*(AG3/AI3))/((AQ3^2/AV3)+((1-AQ3)^2/AW3)*(AG3/AI3))</f>
        <v>5966.4284490295158</v>
      </c>
      <c r="AY3" s="8">
        <f>+(-2*LOG10((((AY$1/1000)/AD3)/3.7065)-(5.0452/AX3*LOG10((((AY$1/1000)/AD3)^1.1098)+(5.8506/AX3^0.8981)))))^(-1/0.5)</f>
        <v>3.553810611769103E-2</v>
      </c>
      <c r="AZ3" s="8">
        <v>0.65248523405819703</v>
      </c>
      <c r="BA3" s="8">
        <v>97.429653627333394</v>
      </c>
      <c r="BB3" s="8">
        <f>AZ3*AG3+(1-AZ3)*AI3</f>
        <v>347.17098022660929</v>
      </c>
      <c r="BC3" s="15"/>
      <c r="BD3" s="15"/>
      <c r="BE3" s="15"/>
      <c r="BF3" s="15"/>
      <c r="BG3" s="15"/>
      <c r="BH3" s="15"/>
      <c r="BI3" s="15"/>
      <c r="BJ3" s="15"/>
      <c r="BK3">
        <v>0.1</v>
      </c>
      <c r="BM3" s="81" t="s">
        <v>205</v>
      </c>
      <c r="BO3" s="15"/>
      <c r="BP3" s="15"/>
      <c r="BQ3" s="15"/>
      <c r="BR3" s="15"/>
      <c r="BT3" s="15"/>
      <c r="BU3" s="15"/>
      <c r="BV3" s="15"/>
      <c r="BW3" s="15"/>
      <c r="BX3" s="15"/>
      <c r="BY3" s="15"/>
    </row>
    <row r="4" spans="1:77" x14ac:dyDescent="0.35">
      <c r="A4" s="5" t="s">
        <v>102</v>
      </c>
      <c r="B4" s="25" t="s">
        <v>109</v>
      </c>
      <c r="C4" s="70">
        <v>2</v>
      </c>
      <c r="D4" s="21">
        <f t="shared" ref="D4:D8" si="6">+F4/E4</f>
        <v>0.6987951807228916</v>
      </c>
      <c r="E4" s="43">
        <f t="shared" ref="E4:E8" si="7">+F4+G4</f>
        <v>0.83</v>
      </c>
      <c r="F4" s="21">
        <v>0.57999999999999996</v>
      </c>
      <c r="G4" s="21">
        <v>0.25</v>
      </c>
      <c r="I4" s="70">
        <v>0.406765471685543</v>
      </c>
      <c r="J4" s="70">
        <v>28.228675641572298</v>
      </c>
      <c r="K4" s="70">
        <f t="shared" ref="K4:L8" si="8">+F4*3600*(PI()/4*0.0533^2)</f>
        <v>4.6588077982088008</v>
      </c>
      <c r="L4" s="70">
        <f t="shared" si="8"/>
        <v>2.0081068095727592</v>
      </c>
      <c r="N4" s="8">
        <v>8.0005199800133404</v>
      </c>
      <c r="O4" s="8">
        <v>28.085709654896799</v>
      </c>
      <c r="P4" s="8">
        <f t="shared" ref="P4:P8" si="9">+K4*((I4+1)/(N4+1))*((O4+273)/(J4+273))</f>
        <v>0.72781788662603675</v>
      </c>
      <c r="Q4" s="8">
        <f t="shared" ref="Q4:Q8" si="10">+L4</f>
        <v>2.0081068095727592</v>
      </c>
      <c r="R4" s="8">
        <f t="shared" si="0"/>
        <v>0.5</v>
      </c>
      <c r="S4" s="61">
        <v>10.43</v>
      </c>
      <c r="T4" s="27">
        <v>1.872E-5</v>
      </c>
      <c r="U4" s="8">
        <f t="shared" si="1"/>
        <v>7.5911405575095632</v>
      </c>
      <c r="V4" s="8">
        <f t="shared" si="2"/>
        <v>1.5959633004351088</v>
      </c>
      <c r="W4" s="8">
        <f t="shared" si="3"/>
        <v>1</v>
      </c>
      <c r="X4" s="8"/>
      <c r="Y4" s="8"/>
      <c r="Z4" s="27">
        <v>996.2</v>
      </c>
      <c r="AA4" s="27">
        <v>8.2819999999999996E-4</v>
      </c>
      <c r="AB4" s="8">
        <f t="shared" si="4"/>
        <v>2000.4760036963828</v>
      </c>
      <c r="AC4" s="8">
        <f t="shared" si="5"/>
        <v>1.1008470766941534</v>
      </c>
      <c r="AD4" s="8">
        <v>5.33E-2</v>
      </c>
      <c r="AE4" s="8">
        <f t="shared" ref="AE4:AE8" si="11">+U4+AB4</f>
        <v>2008.0671442538924</v>
      </c>
      <c r="AF4" s="8">
        <f t="shared" ref="AF4:AF8" si="12">+AE4/(PI()/4*AD4^2)</f>
        <v>899982.22266524378</v>
      </c>
      <c r="AG4" s="27">
        <v>1.6259999999999999</v>
      </c>
      <c r="AH4" s="27">
        <v>1.861E-5</v>
      </c>
      <c r="AI4" s="27">
        <v>996.2</v>
      </c>
      <c r="AJ4" s="27">
        <v>8.2870000000000003E-4</v>
      </c>
      <c r="AK4" s="8">
        <f t="shared" ref="AK4:AK8" si="13">+U4/AG4</f>
        <v>4.6685981288496698</v>
      </c>
      <c r="AL4" s="8">
        <f t="shared" ref="AL4:AL8" si="14">+AB4/AI4</f>
        <v>2.0081068095727592</v>
      </c>
      <c r="AM4" s="8">
        <f t="shared" ref="AM4:AM8" si="15">+AK4+AL4</f>
        <v>6.6767049384224286</v>
      </c>
      <c r="AN4" s="11">
        <f t="shared" ref="AN4:AN8" si="16">+(AK4/3600)/(PI()/4*AD4^2)</f>
        <v>0.58121885083430291</v>
      </c>
      <c r="AO4" s="11">
        <f t="shared" ref="AO4:AO8" si="17">+(AL4/3600)/(PI()/4*AD4^2)</f>
        <v>0.25</v>
      </c>
      <c r="AP4" s="8">
        <f t="shared" ref="AP4:AP8" si="18">+AN4+AO4</f>
        <v>0.83121885083430291</v>
      </c>
      <c r="AQ4" s="8">
        <f t="shared" ref="AQ4:AQ8" si="19">+U4/(U4+AB4)</f>
        <v>3.7803220769941385E-3</v>
      </c>
      <c r="AR4" s="8">
        <f t="shared" ref="AR4:AR8" si="20">+AK4/AM4</f>
        <v>0.69923684989931068</v>
      </c>
      <c r="AS4" s="8">
        <f t="shared" ref="AS4:AS8" si="21">4*(PI()/4*AD4^2)/(PI()*AD4)</f>
        <v>5.3299999999999993E-2</v>
      </c>
      <c r="AT4" s="8">
        <v>7.4999999999999997E-2</v>
      </c>
      <c r="AU4" s="8">
        <f t="shared" ref="AU4:AU8" si="22">+AS4/(AT4/(9.81*(AI4-AG4)))^0.5</f>
        <v>19.224260018957505</v>
      </c>
      <c r="AV4" s="8">
        <f t="shared" ref="AV4:AV8" si="23">+AG4*((AK4/3600)/(PI()/4*AD4^2))*AD4/AH4</f>
        <v>2706.7058937472075</v>
      </c>
      <c r="AW4" s="8">
        <f t="shared" ref="AW4:AW8" si="24">+AI4*((AL4/3600)/(PI()/4*AD4^2))*AD4/AJ4</f>
        <v>16018.299746591047</v>
      </c>
      <c r="AX4" s="8">
        <f t="shared" ref="AX4:AX8" si="25">+(AQ4^2+(1-AQ4)^2*(AG4/AI4))/((AQ4^2/AV4)+((1-AQ4)^2/AW4)*(AG4/AI4))</f>
        <v>15357.794004449637</v>
      </c>
      <c r="AY4" s="8">
        <f t="shared" ref="AY4:AY8" si="26">+(-2*LOG10((((AY$1/1000)/AD4)/3.7065)-(5.0452/AX4*LOG10((((AY$1/1000)/AD4)^1.1098)+(5.8506/AX4^0.8981)))))^(-1/0.5)</f>
        <v>2.7709227970401328E-2</v>
      </c>
      <c r="AZ4" s="8">
        <v>0.50576855978424695</v>
      </c>
      <c r="BA4" s="27">
        <v>0.64487159626915402</v>
      </c>
      <c r="BB4" s="8">
        <f t="shared" ref="BB4:BB28" si="27">AZ4*AG4+(1-AZ4)*AI4</f>
        <v>493.17574042114239</v>
      </c>
      <c r="BC4" s="15"/>
      <c r="BD4" s="15"/>
      <c r="BE4" s="15"/>
      <c r="BF4" s="15"/>
      <c r="BG4" s="15"/>
      <c r="BH4" s="15"/>
      <c r="BI4" s="15"/>
      <c r="BJ4" s="15"/>
      <c r="BO4" s="15"/>
      <c r="BP4" s="15"/>
      <c r="BQ4" s="15"/>
      <c r="BR4" s="15"/>
      <c r="BT4" s="15"/>
      <c r="BU4" s="15"/>
      <c r="BV4" s="15"/>
      <c r="BW4" s="15"/>
      <c r="BX4" s="15"/>
      <c r="BY4" s="15"/>
    </row>
    <row r="5" spans="1:77" x14ac:dyDescent="0.35">
      <c r="A5" s="5" t="s">
        <v>103</v>
      </c>
      <c r="B5" s="25" t="s">
        <v>110</v>
      </c>
      <c r="C5" s="70">
        <v>3</v>
      </c>
      <c r="D5" s="21">
        <f t="shared" si="6"/>
        <v>0.79556650246305427</v>
      </c>
      <c r="E5" s="43">
        <f t="shared" si="7"/>
        <v>8.1199999999999992</v>
      </c>
      <c r="F5" s="21">
        <v>6.46</v>
      </c>
      <c r="G5" s="21">
        <v>1.66</v>
      </c>
      <c r="I5" s="70">
        <v>4.9803603392226199</v>
      </c>
      <c r="J5" s="70">
        <v>28.211057128975298</v>
      </c>
      <c r="K5" s="70">
        <f t="shared" si="8"/>
        <v>51.889479959360095</v>
      </c>
      <c r="L5" s="70">
        <f t="shared" si="8"/>
        <v>13.333829215563121</v>
      </c>
      <c r="N5" s="8">
        <v>7.0408709717314499</v>
      </c>
      <c r="O5" s="8">
        <v>24.295946756183699</v>
      </c>
      <c r="P5" s="8">
        <f t="shared" si="9"/>
        <v>38.090936954964036</v>
      </c>
      <c r="Q5" s="8">
        <f t="shared" si="10"/>
        <v>13.333829215563121</v>
      </c>
      <c r="R5" s="8">
        <f t="shared" si="0"/>
        <v>2</v>
      </c>
      <c r="S5" s="61">
        <v>9.4390000000000001</v>
      </c>
      <c r="T5" s="27">
        <v>1.8519999999999999E-5</v>
      </c>
      <c r="U5" s="8">
        <f t="shared" si="1"/>
        <v>359.54035391790552</v>
      </c>
      <c r="V5" s="8">
        <f t="shared" si="2"/>
        <v>5.2203767742233405</v>
      </c>
      <c r="W5" s="8">
        <f t="shared" si="3"/>
        <v>2</v>
      </c>
      <c r="X5" s="8"/>
      <c r="Y5" s="8"/>
      <c r="Z5" s="27">
        <v>996.5</v>
      </c>
      <c r="AA5" s="27">
        <v>8.2799999999999996E-4</v>
      </c>
      <c r="AB5" s="8">
        <f t="shared" si="4"/>
        <v>13287.16081330865</v>
      </c>
      <c r="AC5" s="8">
        <f t="shared" si="5"/>
        <v>1.8274061473122947</v>
      </c>
      <c r="AD5" s="8">
        <v>5.33E-2</v>
      </c>
      <c r="AE5" s="8">
        <f t="shared" si="11"/>
        <v>13646.701167226556</v>
      </c>
      <c r="AF5" s="8">
        <f t="shared" si="12"/>
        <v>6116223.9936415544</v>
      </c>
      <c r="AG5" s="27">
        <v>6.923</v>
      </c>
      <c r="AH5" s="27">
        <v>1.8680000000000001E-5</v>
      </c>
      <c r="AI5" s="27">
        <v>996.4</v>
      </c>
      <c r="AJ5" s="27">
        <v>8.2899999999999998E-4</v>
      </c>
      <c r="AK5" s="8">
        <f t="shared" si="13"/>
        <v>51.934183723516611</v>
      </c>
      <c r="AL5" s="8">
        <f t="shared" si="14"/>
        <v>13.335167416006273</v>
      </c>
      <c r="AM5" s="8">
        <f t="shared" si="15"/>
        <v>65.269351139522882</v>
      </c>
      <c r="AN5" s="11">
        <f t="shared" si="16"/>
        <v>6.4655654116533308</v>
      </c>
      <c r="AO5" s="11">
        <f t="shared" si="17"/>
        <v>1.6601665997591331</v>
      </c>
      <c r="AP5" s="8">
        <f t="shared" si="18"/>
        <v>8.1257320114124632</v>
      </c>
      <c r="AQ5" s="8">
        <f t="shared" si="19"/>
        <v>2.6346319855040511E-2</v>
      </c>
      <c r="AR5" s="8">
        <f t="shared" si="20"/>
        <v>0.79569021013399721</v>
      </c>
      <c r="AS5" s="8">
        <f t="shared" si="21"/>
        <v>5.3299999999999993E-2</v>
      </c>
      <c r="AT5" s="8">
        <v>7.4999999999999997E-2</v>
      </c>
      <c r="AU5" s="8">
        <f t="shared" si="22"/>
        <v>19.174936431199033</v>
      </c>
      <c r="AV5" s="8">
        <f t="shared" si="23"/>
        <v>127717.72634271366</v>
      </c>
      <c r="AW5" s="8">
        <f t="shared" si="24"/>
        <v>106355.03860072377</v>
      </c>
      <c r="AX5" s="8">
        <f t="shared" si="25"/>
        <v>108078.49997619927</v>
      </c>
      <c r="AY5" s="8">
        <f t="shared" si="26"/>
        <v>1.7918724421063743E-2</v>
      </c>
      <c r="AZ5" s="8">
        <v>0.70999653043466104</v>
      </c>
      <c r="BA5" s="22">
        <v>2988.64865983039</v>
      </c>
      <c r="BB5" s="8">
        <f t="shared" si="27"/>
        <v>293.8747630551029</v>
      </c>
      <c r="BC5" s="15"/>
      <c r="BD5" s="15"/>
      <c r="BE5" s="15"/>
      <c r="BF5" s="15"/>
      <c r="BG5" s="15"/>
      <c r="BH5" s="15"/>
      <c r="BI5" s="15"/>
      <c r="BJ5" s="15"/>
      <c r="BK5">
        <v>0</v>
      </c>
      <c r="BL5">
        <v>0</v>
      </c>
      <c r="BO5" s="15"/>
      <c r="BP5" s="15"/>
      <c r="BQ5" s="15"/>
      <c r="BR5" s="15"/>
      <c r="BT5" s="15"/>
      <c r="BU5" s="15"/>
      <c r="BV5" s="15"/>
      <c r="BW5" s="15"/>
      <c r="BX5" s="15"/>
      <c r="BY5" s="15"/>
    </row>
    <row r="6" spans="1:77" x14ac:dyDescent="0.35">
      <c r="A6" s="5" t="s">
        <v>104</v>
      </c>
      <c r="B6" s="25" t="s">
        <v>111</v>
      </c>
      <c r="C6" s="70">
        <v>4</v>
      </c>
      <c r="D6" s="21">
        <f t="shared" si="6"/>
        <v>0.99460625674217895</v>
      </c>
      <c r="E6" s="43">
        <f t="shared" si="7"/>
        <v>18.540000000000003</v>
      </c>
      <c r="F6" s="21">
        <v>18.440000000000001</v>
      </c>
      <c r="G6" s="21">
        <v>0.1</v>
      </c>
      <c r="I6" s="70">
        <v>0.85933681767442005</v>
      </c>
      <c r="J6" s="70">
        <v>25.915370800000002</v>
      </c>
      <c r="K6" s="70">
        <f t="shared" si="8"/>
        <v>148.1179582740867</v>
      </c>
      <c r="L6" s="70">
        <f t="shared" si="8"/>
        <v>0.80324272382910367</v>
      </c>
      <c r="N6" s="8">
        <v>7.1413273134883797</v>
      </c>
      <c r="O6" s="8">
        <v>25.823449388837201</v>
      </c>
      <c r="P6" s="8">
        <f t="shared" si="9"/>
        <v>33.817149485492905</v>
      </c>
      <c r="Q6" s="8">
        <f t="shared" si="10"/>
        <v>0.80324272382910367</v>
      </c>
      <c r="R6" s="8">
        <f t="shared" si="0"/>
        <v>2</v>
      </c>
      <c r="S6" s="61">
        <v>9.5069999999999997</v>
      </c>
      <c r="T6" s="27">
        <v>1.859E-5</v>
      </c>
      <c r="U6" s="8">
        <f t="shared" si="1"/>
        <v>321.49964015858103</v>
      </c>
      <c r="V6" s="8">
        <f t="shared" si="2"/>
        <v>4.634652645936014</v>
      </c>
      <c r="W6" s="8">
        <f t="shared" si="3"/>
        <v>1</v>
      </c>
      <c r="X6" s="8"/>
      <c r="Y6" s="8"/>
      <c r="Z6" s="27">
        <v>996.2</v>
      </c>
      <c r="AA6" s="27">
        <v>8.273E-4</v>
      </c>
      <c r="AB6" s="8">
        <f t="shared" si="4"/>
        <v>800.1904014785531</v>
      </c>
      <c r="AC6" s="8">
        <f t="shared" si="5"/>
        <v>0.44033883067766139</v>
      </c>
      <c r="AD6" s="8">
        <v>5.33E-2</v>
      </c>
      <c r="AE6" s="8">
        <f t="shared" si="11"/>
        <v>1121.6900416371341</v>
      </c>
      <c r="AF6" s="8">
        <f t="shared" si="12"/>
        <v>502722.77981478703</v>
      </c>
      <c r="AG6" s="27">
        <v>2.1669999999999998</v>
      </c>
      <c r="AH6" s="27">
        <v>1.8499999999999999E-5</v>
      </c>
      <c r="AI6" s="27">
        <v>996.9</v>
      </c>
      <c r="AJ6" s="27">
        <v>8.7219999999999995E-4</v>
      </c>
      <c r="AK6" s="8">
        <f t="shared" si="13"/>
        <v>148.36162443866223</v>
      </c>
      <c r="AL6" s="8">
        <f t="shared" si="14"/>
        <v>0.80267870546549613</v>
      </c>
      <c r="AM6" s="8">
        <f t="shared" si="15"/>
        <v>149.16430314412773</v>
      </c>
      <c r="AN6" s="11">
        <f t="shared" si="16"/>
        <v>18.470335309284092</v>
      </c>
      <c r="AO6" s="11">
        <f t="shared" si="17"/>
        <v>9.9929782325208147E-2</v>
      </c>
      <c r="AP6" s="8">
        <f t="shared" si="18"/>
        <v>18.570265091609301</v>
      </c>
      <c r="AQ6" s="8">
        <f t="shared" si="19"/>
        <v>0.28662074924846836</v>
      </c>
      <c r="AR6" s="8">
        <f>+AK6/AM6</f>
        <v>0.99461882844255356</v>
      </c>
      <c r="AS6" s="8">
        <f t="shared" si="21"/>
        <v>5.3299999999999993E-2</v>
      </c>
      <c r="AT6" s="8">
        <v>7.4999999999999997E-2</v>
      </c>
      <c r="AU6" s="8">
        <f t="shared" si="22"/>
        <v>19.225796624171281</v>
      </c>
      <c r="AV6" s="8">
        <f t="shared" si="23"/>
        <v>115315.89435627853</v>
      </c>
      <c r="AW6" s="8">
        <f t="shared" si="24"/>
        <v>6087.7619811969744</v>
      </c>
      <c r="AX6" s="8">
        <f t="shared" si="25"/>
        <v>93117.067103140187</v>
      </c>
      <c r="AY6" s="8">
        <f t="shared" si="26"/>
        <v>1.8461193987781691E-2</v>
      </c>
      <c r="AZ6" s="8">
        <v>0.92075002616399704</v>
      </c>
      <c r="BA6" s="27">
        <v>676.51437148651098</v>
      </c>
      <c r="BB6" s="8">
        <f t="shared" si="27"/>
        <v>80.999564223808733</v>
      </c>
      <c r="BC6" s="15"/>
      <c r="BD6" s="15"/>
      <c r="BE6" s="15"/>
      <c r="BF6" s="15"/>
      <c r="BG6" s="15"/>
      <c r="BH6" s="15"/>
      <c r="BI6" s="15"/>
      <c r="BJ6" s="15"/>
      <c r="BK6">
        <v>1</v>
      </c>
      <c r="BL6">
        <v>1</v>
      </c>
      <c r="BO6" s="15"/>
      <c r="BP6" s="15"/>
      <c r="BQ6" s="15"/>
      <c r="BR6" s="15"/>
      <c r="BT6" s="15"/>
      <c r="BU6" s="15"/>
      <c r="BV6" s="15"/>
      <c r="BW6" s="15"/>
      <c r="BX6" s="15"/>
      <c r="BY6" s="15"/>
    </row>
    <row r="7" spans="1:77" x14ac:dyDescent="0.35">
      <c r="A7" s="5" t="s">
        <v>105</v>
      </c>
      <c r="B7" s="25" t="s">
        <v>112</v>
      </c>
      <c r="C7" s="70">
        <v>5</v>
      </c>
      <c r="D7" s="21">
        <f t="shared" si="6"/>
        <v>0.949238578680203</v>
      </c>
      <c r="E7" s="43">
        <f t="shared" si="7"/>
        <v>3.9400000000000004</v>
      </c>
      <c r="F7" s="21">
        <v>3.74</v>
      </c>
      <c r="G7" s="21">
        <v>0.2</v>
      </c>
      <c r="I7" s="70">
        <v>0.31530293729152797</v>
      </c>
      <c r="J7" s="70">
        <v>28.0794782368245</v>
      </c>
      <c r="K7" s="70">
        <f t="shared" si="8"/>
        <v>30.041277871208475</v>
      </c>
      <c r="L7" s="70">
        <f t="shared" si="8"/>
        <v>1.6064854476582073</v>
      </c>
      <c r="N7" s="8">
        <v>8.1587819046030603</v>
      </c>
      <c r="O7" s="8">
        <v>27.964155070046601</v>
      </c>
      <c r="P7" s="8">
        <f t="shared" si="9"/>
        <v>4.3126090929948608</v>
      </c>
      <c r="Q7" s="8">
        <f t="shared" si="10"/>
        <v>1.6064854476582073</v>
      </c>
      <c r="R7" s="8">
        <f t="shared" si="0"/>
        <v>0.5</v>
      </c>
      <c r="S7" s="61">
        <v>10.62</v>
      </c>
      <c r="T7" s="27">
        <v>1.8709999999999999E-5</v>
      </c>
      <c r="U7" s="8">
        <f t="shared" si="1"/>
        <v>45.799908567605421</v>
      </c>
      <c r="V7" s="8">
        <f t="shared" si="2"/>
        <v>9.4567143347481419</v>
      </c>
      <c r="W7" s="8">
        <f t="shared" si="3"/>
        <v>1</v>
      </c>
      <c r="X7" s="8"/>
      <c r="Y7" s="8"/>
      <c r="Z7" s="27">
        <v>996.2</v>
      </c>
      <c r="AA7" s="27">
        <v>8.2709999999999999E-4</v>
      </c>
      <c r="AB7" s="8">
        <f t="shared" si="4"/>
        <v>1600.3808029571062</v>
      </c>
      <c r="AC7" s="8">
        <f t="shared" si="5"/>
        <v>0.88067766135532277</v>
      </c>
      <c r="AD7" s="8">
        <v>5.33E-2</v>
      </c>
      <c r="AE7" s="8">
        <f t="shared" si="11"/>
        <v>1646.1807115247116</v>
      </c>
      <c r="AF7" s="8">
        <f t="shared" si="12"/>
        <v>737790.75560600031</v>
      </c>
      <c r="AG7" s="27">
        <v>1.5209999999999999</v>
      </c>
      <c r="AH7" s="27">
        <v>1.8600000000000001E-5</v>
      </c>
      <c r="AI7" s="27">
        <v>996.2</v>
      </c>
      <c r="AJ7" s="27">
        <v>8.3140000000000004E-4</v>
      </c>
      <c r="AK7" s="8">
        <f t="shared" si="13"/>
        <v>30.111708459964117</v>
      </c>
      <c r="AL7" s="8">
        <f t="shared" si="14"/>
        <v>1.6064854476582073</v>
      </c>
      <c r="AM7" s="8">
        <f t="shared" si="15"/>
        <v>31.718193907622325</v>
      </c>
      <c r="AN7" s="11">
        <f t="shared" si="16"/>
        <v>3.7487682821974273</v>
      </c>
      <c r="AO7" s="11">
        <f t="shared" si="17"/>
        <v>0.2</v>
      </c>
      <c r="AP7" s="8">
        <f t="shared" si="18"/>
        <v>3.9487682821974275</v>
      </c>
      <c r="AQ7" s="8">
        <f t="shared" si="19"/>
        <v>2.7821920307391414E-2</v>
      </c>
      <c r="AR7" s="8">
        <f t="shared" si="20"/>
        <v>0.94935129495906934</v>
      </c>
      <c r="AS7" s="8">
        <f t="shared" si="21"/>
        <v>5.3299999999999993E-2</v>
      </c>
      <c r="AT7" s="8">
        <v>7.4999999999999997E-2</v>
      </c>
      <c r="AU7" s="8">
        <f t="shared" si="22"/>
        <v>19.225274772022061</v>
      </c>
      <c r="AV7" s="8">
        <f t="shared" si="23"/>
        <v>16339.248413975691</v>
      </c>
      <c r="AW7" s="8">
        <f t="shared" si="24"/>
        <v>12773.023815251383</v>
      </c>
      <c r="AX7" s="8">
        <f t="shared" si="25"/>
        <v>13826.646669032003</v>
      </c>
      <c r="AY7" s="8">
        <f t="shared" si="26"/>
        <v>2.8448732587025235E-2</v>
      </c>
      <c r="AZ7" s="8">
        <v>0.75257334093050199</v>
      </c>
      <c r="BA7" s="27">
        <v>12.7569967931955</v>
      </c>
      <c r="BB7" s="8">
        <f t="shared" si="27"/>
        <v>247.63110181658922</v>
      </c>
      <c r="BC7" s="15"/>
      <c r="BD7" s="15"/>
      <c r="BE7" s="15"/>
      <c r="BF7" s="15"/>
      <c r="BG7" s="15"/>
      <c r="BH7" s="15"/>
      <c r="BI7" s="15"/>
      <c r="BJ7" s="15"/>
      <c r="BO7" s="15"/>
      <c r="BP7" s="15"/>
      <c r="BQ7" s="15"/>
      <c r="BR7" s="15"/>
      <c r="BT7" s="15"/>
      <c r="BU7" s="15"/>
      <c r="BV7" s="15"/>
      <c r="BW7" s="15"/>
      <c r="BX7" s="15"/>
      <c r="BY7" s="15"/>
    </row>
    <row r="8" spans="1:77" x14ac:dyDescent="0.35">
      <c r="A8" s="24" t="s">
        <v>106</v>
      </c>
      <c r="B8" s="25" t="s">
        <v>112</v>
      </c>
      <c r="C8" s="70">
        <v>6</v>
      </c>
      <c r="D8" s="21">
        <f t="shared" si="6"/>
        <v>0.60068259385665534</v>
      </c>
      <c r="E8" s="43">
        <f t="shared" si="7"/>
        <v>2.9299999999999997</v>
      </c>
      <c r="F8" s="21">
        <v>1.76</v>
      </c>
      <c r="G8" s="21">
        <v>1.17</v>
      </c>
      <c r="I8" s="70">
        <v>1.04195849236895</v>
      </c>
      <c r="J8" s="70">
        <v>28.8404838407432</v>
      </c>
      <c r="K8" s="70">
        <f t="shared" si="8"/>
        <v>14.137071939392223</v>
      </c>
      <c r="L8" s="70">
        <f t="shared" si="8"/>
        <v>9.3979398688005134</v>
      </c>
      <c r="N8" s="6">
        <v>8.0753010013271407</v>
      </c>
      <c r="O8" s="6">
        <v>28.5971155779695</v>
      </c>
      <c r="P8" s="8">
        <f t="shared" si="9"/>
        <v>3.1783010757745265</v>
      </c>
      <c r="Q8" s="8">
        <f t="shared" si="10"/>
        <v>9.3979398688005134</v>
      </c>
      <c r="R8" s="8">
        <f t="shared" si="0"/>
        <v>0.5</v>
      </c>
      <c r="S8" s="78">
        <v>10.5</v>
      </c>
      <c r="T8" s="27">
        <v>1.874E-5</v>
      </c>
      <c r="U8" s="8">
        <f t="shared" si="1"/>
        <v>33.37216129563253</v>
      </c>
      <c r="V8" s="8">
        <f t="shared" si="2"/>
        <v>6.9693971086421911</v>
      </c>
      <c r="W8" s="8">
        <f t="shared" si="3"/>
        <v>1</v>
      </c>
      <c r="X8" s="8"/>
      <c r="Y8" s="8"/>
      <c r="Z8" s="27">
        <v>996.1</v>
      </c>
      <c r="AA8" s="27">
        <v>8.1780000000000004E-4</v>
      </c>
      <c r="AB8" s="8">
        <f t="shared" si="4"/>
        <v>9361.2879033121917</v>
      </c>
      <c r="AC8" s="8">
        <f t="shared" si="5"/>
        <v>5.1519643189286386</v>
      </c>
      <c r="AD8" s="8">
        <v>5.33E-2</v>
      </c>
      <c r="AE8" s="8">
        <f t="shared" si="11"/>
        <v>9394.6600646078241</v>
      </c>
      <c r="AF8" s="8">
        <f t="shared" si="12"/>
        <v>4210530.0464301258</v>
      </c>
      <c r="AG8" s="27">
        <v>2.3559999999999999</v>
      </c>
      <c r="AH8" s="27">
        <v>1.8649999999999999E-5</v>
      </c>
      <c r="AI8" s="27">
        <v>996</v>
      </c>
      <c r="AJ8" s="27">
        <v>8.1780000000000004E-4</v>
      </c>
      <c r="AK8" s="8">
        <f t="shared" si="13"/>
        <v>14.164754369962875</v>
      </c>
      <c r="AL8" s="8">
        <f t="shared" si="14"/>
        <v>9.3988834370604337</v>
      </c>
      <c r="AM8" s="8">
        <f t="shared" si="15"/>
        <v>23.563637807023309</v>
      </c>
      <c r="AN8" s="11">
        <f t="shared" si="16"/>
        <v>1.7634463344328457</v>
      </c>
      <c r="AO8" s="11">
        <f t="shared" si="17"/>
        <v>1.1701174698795183</v>
      </c>
      <c r="AP8" s="8">
        <f t="shared" si="18"/>
        <v>2.9335638043123637</v>
      </c>
      <c r="AQ8" s="8">
        <f t="shared" si="19"/>
        <v>3.5522478797667531E-3</v>
      </c>
      <c r="AR8" s="8">
        <f t="shared" si="20"/>
        <v>0.60112765634773802</v>
      </c>
      <c r="AS8" s="8">
        <f t="shared" si="21"/>
        <v>5.3299999999999993E-2</v>
      </c>
      <c r="AT8" s="8">
        <v>7.4999999999999997E-2</v>
      </c>
      <c r="AU8" s="8">
        <f t="shared" si="22"/>
        <v>19.215269866783757</v>
      </c>
      <c r="AV8" s="8">
        <f t="shared" si="23"/>
        <v>11873.695482956446</v>
      </c>
      <c r="AW8" s="8">
        <f t="shared" si="24"/>
        <v>75957.192589875282</v>
      </c>
      <c r="AX8" s="8">
        <f t="shared" si="25"/>
        <v>73827.900206061764</v>
      </c>
      <c r="AY8" s="8">
        <f t="shared" si="26"/>
        <v>1.9361256664603574E-2</v>
      </c>
      <c r="AZ8" s="8">
        <v>0.45787787719705703</v>
      </c>
      <c r="BA8" s="22">
        <v>1021.8988855501</v>
      </c>
      <c r="BB8" s="8">
        <f t="shared" si="27"/>
        <v>541.03239459040731</v>
      </c>
      <c r="BC8" s="15"/>
      <c r="BD8" s="15"/>
      <c r="BE8" s="15"/>
      <c r="BF8" s="15"/>
      <c r="BG8" s="15"/>
      <c r="BH8" s="15"/>
      <c r="BI8" s="15"/>
      <c r="BJ8" s="15"/>
      <c r="BK8">
        <f>BK5*(1+BK$25)</f>
        <v>0</v>
      </c>
      <c r="BL8">
        <f>BL5*(1+BL$25)</f>
        <v>0</v>
      </c>
      <c r="BO8" s="15"/>
      <c r="BP8" s="15"/>
      <c r="BQ8" s="15"/>
      <c r="BR8" s="15"/>
      <c r="BT8" s="15"/>
      <c r="BU8" s="15"/>
      <c r="BV8" s="15"/>
      <c r="BW8" s="15"/>
      <c r="BX8" s="15"/>
      <c r="BY8" s="15"/>
    </row>
    <row r="9" spans="1:77" x14ac:dyDescent="0.35">
      <c r="BB9" s="34"/>
      <c r="BK9">
        <f>BK6</f>
        <v>1</v>
      </c>
      <c r="BL9">
        <f>BL6*(1-BK$3)</f>
        <v>0.9</v>
      </c>
    </row>
    <row r="10" spans="1:77" x14ac:dyDescent="0.35">
      <c r="A10" s="5" t="s">
        <v>179</v>
      </c>
      <c r="B10" s="25" t="s">
        <v>180</v>
      </c>
      <c r="C10" s="8">
        <v>1</v>
      </c>
      <c r="D10" s="21">
        <f>+F10/E10</f>
        <v>0.31034482758620691</v>
      </c>
      <c r="E10" s="43">
        <f>+F10+G10</f>
        <v>2.9</v>
      </c>
      <c r="F10" s="21">
        <v>0.9</v>
      </c>
      <c r="G10" s="21">
        <v>2</v>
      </c>
      <c r="I10" s="22">
        <v>1.16812503066667</v>
      </c>
      <c r="J10" s="22">
        <v>28.521526194000099</v>
      </c>
      <c r="K10" s="70">
        <f>+F10*3600*(PI()/4*0.0533^2)</f>
        <v>7.2291845144619327</v>
      </c>
      <c r="L10" s="70">
        <f>+G10*3600*(PI()/4*0.0533^2)</f>
        <v>16.064854476582074</v>
      </c>
      <c r="N10" s="22">
        <v>8.1008306213333299</v>
      </c>
      <c r="O10" s="22">
        <v>24.956075421333299</v>
      </c>
      <c r="P10" s="8">
        <f>+K10*((I10+1)/(N10+1))*((O10+273)/(J10+273))</f>
        <v>1.7018705530426457</v>
      </c>
      <c r="Q10" s="8">
        <f>+L10</f>
        <v>16.064854476582074</v>
      </c>
      <c r="R10" s="8">
        <f t="shared" ref="R10:R19" si="28">+IF(P10&lt;17,0.5,2)</f>
        <v>0.5</v>
      </c>
      <c r="S10" s="61">
        <v>10.66</v>
      </c>
      <c r="T10" s="27">
        <v>1.857E-5</v>
      </c>
      <c r="U10" s="8">
        <f t="shared" ref="U10:U17" si="29">+P10*S10</f>
        <v>18.141940095434602</v>
      </c>
      <c r="V10" s="8">
        <f t="shared" ref="V10:V17" si="30">+(P10/3600)/(PI()/4*(R10*25.4/1000)^2)</f>
        <v>3.7318716600088835</v>
      </c>
      <c r="W10" s="8">
        <f t="shared" ref="W10:W28" si="31">+IF(Q10&lt;10,1,2)</f>
        <v>2</v>
      </c>
      <c r="X10" s="8">
        <v>3.0349103453333299</v>
      </c>
      <c r="Y10" s="8">
        <v>28.501093207333302</v>
      </c>
      <c r="Z10" s="27">
        <v>996.2</v>
      </c>
      <c r="AA10" s="27">
        <v>8.2830000000000002E-4</v>
      </c>
      <c r="AB10" s="8">
        <f t="shared" ref="AB10:AB17" si="32">+Q10*Z10</f>
        <v>16003.808029571062</v>
      </c>
      <c r="AC10" s="8">
        <f t="shared" ref="AC10:AC17" si="33">+(Q10/3600)/(PI()/4*(W10*25.4/1000)^2)</f>
        <v>2.2016941533883068</v>
      </c>
      <c r="AD10" s="8">
        <v>5.33E-2</v>
      </c>
      <c r="AE10" s="8">
        <f>+U10+AB10</f>
        <v>16021.949969666497</v>
      </c>
      <c r="AF10" s="8">
        <f>+AE10/(PI()/4*AD10^2)</f>
        <v>7180770.9151525497</v>
      </c>
      <c r="AG10" s="27">
        <v>2.5049999999999999</v>
      </c>
      <c r="AH10" s="27">
        <v>1.863E-5</v>
      </c>
      <c r="AI10" s="27">
        <v>996.2</v>
      </c>
      <c r="AJ10" s="27">
        <v>8.2989999999999995E-4</v>
      </c>
      <c r="AK10" s="8">
        <f>+U10/AG10</f>
        <v>7.2422914552633149</v>
      </c>
      <c r="AL10" s="8">
        <f>+AB10/AI10</f>
        <v>16.064854476582074</v>
      </c>
      <c r="AM10" s="8">
        <f>+AK10+AL10</f>
        <v>23.30714593184539</v>
      </c>
      <c r="AN10" s="11">
        <f>+(AK10/3600)/(PI()/4*AD10^2)</f>
        <v>0.90163175344295687</v>
      </c>
      <c r="AO10" s="11">
        <f>+(AL10/3600)/(PI()/4*AD10^2)</f>
        <v>2</v>
      </c>
      <c r="AP10" s="8">
        <f>+AN10+AO10</f>
        <v>2.901631753442957</v>
      </c>
      <c r="AQ10" s="8">
        <f>+U10/(U10+AB10)</f>
        <v>1.1323178595477935E-3</v>
      </c>
      <c r="AR10" s="8">
        <f>+AK10/AM10</f>
        <v>0.31073266012240103</v>
      </c>
      <c r="AS10" s="8">
        <f>4*(PI()/4*AD10^2)/(PI()*AD10)</f>
        <v>5.3299999999999993E-2</v>
      </c>
      <c r="AT10" s="8">
        <v>7.4999999999999997E-2</v>
      </c>
      <c r="AU10" s="8">
        <f>+AS10/(AT10/(9.81*(AI10-AG10)))^0.5</f>
        <v>19.215762984132063</v>
      </c>
      <c r="AV10" s="8">
        <f>+AG10*((AK10/3600)/(PI()/4*AD10^2))*AD10/AH10</f>
        <v>6461.7668281570886</v>
      </c>
      <c r="AW10" s="8">
        <f>+AI10*((AL10/3600)/(PI()/4*AD10^2))*AD10/AJ10</f>
        <v>127961.10374743947</v>
      </c>
      <c r="AX10" s="8">
        <f>+(AQ10^2+(1-AQ10)^2*(AG10/AI10))/((AQ10^2/AV10)+((1-AQ10)^2/AW10)*(AG10/AI10))</f>
        <v>126743.83303603147</v>
      </c>
      <c r="AY10" s="8">
        <f>+(-2*LOG10((((AY$1/1000)/AD10)/3.7065)-(5.0452/AX10*LOG10((((AY$1/1000)/AD10)^1.1098)+(5.8506/AX10^0.8981)))))^(-1/0.5)</f>
        <v>1.7367486211399899E-2</v>
      </c>
      <c r="AZ10" s="22">
        <v>0.25790316591324702</v>
      </c>
      <c r="BA10" s="8"/>
      <c r="BB10" s="8">
        <f t="shared" si="27"/>
        <v>739.92291354783606</v>
      </c>
    </row>
    <row r="11" spans="1:77" x14ac:dyDescent="0.35">
      <c r="A11" s="5" t="s">
        <v>181</v>
      </c>
      <c r="B11" s="25" t="s">
        <v>180</v>
      </c>
      <c r="C11" s="8">
        <v>2</v>
      </c>
      <c r="D11" s="21">
        <f>+F11/E11</f>
        <v>6.9767441860465115E-2</v>
      </c>
      <c r="E11" s="43">
        <f t="shared" ref="E11:E28" si="34">+F11+G11</f>
        <v>2.15</v>
      </c>
      <c r="F11" s="21">
        <v>0.15</v>
      </c>
      <c r="G11" s="21">
        <v>2</v>
      </c>
      <c r="I11" s="22">
        <v>0.335694095808383</v>
      </c>
      <c r="J11" s="22">
        <v>28.464077015968002</v>
      </c>
      <c r="K11" s="70">
        <f t="shared" ref="K11:L17" si="35">+F11*3600*(PI()/4*0.0533^2)</f>
        <v>1.2048640857436554</v>
      </c>
      <c r="L11" s="70">
        <f t="shared" si="35"/>
        <v>16.064854476582074</v>
      </c>
      <c r="N11" s="22">
        <v>8.13701325948103</v>
      </c>
      <c r="O11" s="22">
        <v>25.4669471390552</v>
      </c>
      <c r="P11" s="8">
        <f t="shared" ref="P11:P17" si="36">+K11*((I11+1)/(N11+1))*((O11+273)/(J11+273))</f>
        <v>0.17438193222224144</v>
      </c>
      <c r="Q11" s="8">
        <f t="shared" ref="Q11:Q17" si="37">+L11</f>
        <v>16.064854476582074</v>
      </c>
      <c r="R11" s="8">
        <f t="shared" si="28"/>
        <v>0.5</v>
      </c>
      <c r="S11" s="61">
        <v>10.69</v>
      </c>
      <c r="T11" s="27">
        <v>1.859E-5</v>
      </c>
      <c r="U11" s="8">
        <f t="shared" si="29"/>
        <v>1.8641428554557609</v>
      </c>
      <c r="V11" s="8">
        <f t="shared" si="30"/>
        <v>0.3823857165366123</v>
      </c>
      <c r="W11" s="8">
        <f t="shared" si="31"/>
        <v>2</v>
      </c>
      <c r="X11" s="8">
        <v>2.1553384051896201</v>
      </c>
      <c r="Y11" s="8">
        <v>28.442088012641399</v>
      </c>
      <c r="Z11" s="27">
        <v>996.2</v>
      </c>
      <c r="AA11" s="27">
        <v>8.2490000000000005E-4</v>
      </c>
      <c r="AB11" s="8">
        <f t="shared" si="32"/>
        <v>16003.808029571062</v>
      </c>
      <c r="AC11" s="8">
        <f t="shared" si="33"/>
        <v>2.2016941533883068</v>
      </c>
      <c r="AD11" s="8">
        <v>5.33E-2</v>
      </c>
      <c r="AE11" s="8">
        <f t="shared" ref="AE11:AE17" si="38">+U11+AB11</f>
        <v>16005.672172426519</v>
      </c>
      <c r="AF11" s="8">
        <f t="shared" ref="AF11:AF17" si="39">+AE11/(PI()/4*AD11^2)</f>
        <v>7173475.4777554236</v>
      </c>
      <c r="AG11" s="27">
        <v>1.5429999999999999</v>
      </c>
      <c r="AH11" s="27">
        <v>1.8620000000000001E-5</v>
      </c>
      <c r="AI11" s="27">
        <v>996.2</v>
      </c>
      <c r="AJ11" s="27">
        <v>8.2870000000000003E-4</v>
      </c>
      <c r="AK11" s="8">
        <f t="shared" ref="AK11:AK17" si="40">+U11/AG11</f>
        <v>1.2081288758624504</v>
      </c>
      <c r="AL11" s="8">
        <f t="shared" ref="AL11:AL17" si="41">+AB11/AI11</f>
        <v>16.064854476582074</v>
      </c>
      <c r="AM11" s="8">
        <f t="shared" ref="AM11:AM17" si="42">+AK11+AL11</f>
        <v>17.272983352444523</v>
      </c>
      <c r="AN11" s="11">
        <f t="shared" ref="AN11:AN17" si="43">+(AK11/3600)/(PI()/4*AD11^2)</f>
        <v>0.15040645125339344</v>
      </c>
      <c r="AO11" s="11">
        <f t="shared" ref="AO11:AO17" si="44">+(AL11/3600)/(PI()/4*AD11^2)</f>
        <v>2</v>
      </c>
      <c r="AP11" s="8">
        <f t="shared" ref="AP11:AP17" si="45">+AN11+AO11</f>
        <v>2.1504064512533936</v>
      </c>
      <c r="AQ11" s="8">
        <f t="shared" ref="AQ11:AQ17" si="46">+U11/(U11+AB11)</f>
        <v>1.1646763943267431E-4</v>
      </c>
      <c r="AR11" s="8">
        <f t="shared" ref="AR11:AR17" si="47">+AK11/AM11</f>
        <v>6.9943266383769923E-2</v>
      </c>
      <c r="AS11" s="8">
        <f t="shared" ref="AS11:AS17" si="48">4*(PI()/4*AD11^2)/(PI()*AD11)</f>
        <v>5.3299999999999993E-2</v>
      </c>
      <c r="AT11" s="8">
        <v>7.4999999999999997E-2</v>
      </c>
      <c r="AU11" s="8">
        <f t="shared" ref="AU11:AU17" si="49">+AS11/(AT11/(9.81*(AI11-AG11)))^0.5</f>
        <v>19.225062161529774</v>
      </c>
      <c r="AV11" s="8">
        <f t="shared" ref="AV11:AV17" si="50">+AG11*((AK11/3600)/(PI()/4*AD11^2))*AD11/AH11</f>
        <v>664.32397010399882</v>
      </c>
      <c r="AW11" s="8">
        <f t="shared" ref="AW11:AW17" si="51">+AI11*((AL11/3600)/(PI()/4*AD11^2))*AD11/AJ11</f>
        <v>128146.39797272837</v>
      </c>
      <c r="AX11" s="8">
        <f t="shared" ref="AX11:AX17" si="52">+(AQ11^2+(1-AQ11)^2*(AG11/AI11))/((AQ11^2/AV11)+((1-AQ11)^2/AW11)*(AG11/AI11))</f>
        <v>127931.35032157312</v>
      </c>
      <c r="AY11" s="8">
        <f>+(-2*LOG10((((AY$1/1000)/AD11)/3.7065)-(5.0452/AX11*LOG10((((AY$1/1000)/AD11)^1.1098)+(5.8506/AX11^0.8981)))))^(-1/0.5)</f>
        <v>1.7336108086970281E-2</v>
      </c>
      <c r="AZ11" s="22">
        <v>6.3782488503546203E-2</v>
      </c>
      <c r="BA11" s="8"/>
      <c r="BB11" s="8">
        <f t="shared" si="27"/>
        <v>932.75830133252828</v>
      </c>
      <c r="BK11">
        <f>BK8*(1+BK$25)</f>
        <v>0</v>
      </c>
      <c r="BL11">
        <f>BL8*(1+BL$25)</f>
        <v>0</v>
      </c>
    </row>
    <row r="12" spans="1:77" x14ac:dyDescent="0.35">
      <c r="A12" s="5" t="s">
        <v>182</v>
      </c>
      <c r="B12" s="25" t="s">
        <v>180</v>
      </c>
      <c r="C12" s="8">
        <v>3</v>
      </c>
      <c r="D12" s="21">
        <f t="shared" ref="D12:D28" si="53">+F12/E12</f>
        <v>0.55555555555555558</v>
      </c>
      <c r="E12" s="43">
        <f t="shared" si="34"/>
        <v>4.5</v>
      </c>
      <c r="F12" s="21">
        <v>2.5</v>
      </c>
      <c r="G12" s="21">
        <v>2</v>
      </c>
      <c r="I12" s="22">
        <v>2.3401194303405601</v>
      </c>
      <c r="J12" s="22">
        <v>28.687848260061902</v>
      </c>
      <c r="K12" s="70">
        <f t="shared" si="35"/>
        <v>20.081068095727591</v>
      </c>
      <c r="L12" s="70">
        <f t="shared" si="35"/>
        <v>16.064854476582074</v>
      </c>
      <c r="N12" s="22">
        <v>8.1534435572755495</v>
      </c>
      <c r="O12" s="22">
        <v>25.532073525283799</v>
      </c>
      <c r="P12" s="8">
        <f t="shared" si="36"/>
        <v>7.2509928482842625</v>
      </c>
      <c r="Q12" s="8">
        <f t="shared" si="37"/>
        <v>16.064854476582074</v>
      </c>
      <c r="R12" s="8">
        <f t="shared" si="28"/>
        <v>0.5</v>
      </c>
      <c r="S12" s="61">
        <v>10.7</v>
      </c>
      <c r="T12" s="27">
        <v>1.8600000000000001E-5</v>
      </c>
      <c r="U12" s="8">
        <f t="shared" si="29"/>
        <v>77.585623476641601</v>
      </c>
      <c r="V12" s="8">
        <f t="shared" si="30"/>
        <v>15.90001934580806</v>
      </c>
      <c r="W12" s="8">
        <f t="shared" si="31"/>
        <v>2</v>
      </c>
      <c r="X12" s="8">
        <v>4.4918681496388002</v>
      </c>
      <c r="Y12" s="8">
        <v>28.680470593395199</v>
      </c>
      <c r="Z12" s="27">
        <v>996.2</v>
      </c>
      <c r="AA12" s="27">
        <v>8.206E-4</v>
      </c>
      <c r="AB12" s="8">
        <f t="shared" si="32"/>
        <v>16003.808029571062</v>
      </c>
      <c r="AC12" s="8">
        <f t="shared" si="33"/>
        <v>2.2016941533883068</v>
      </c>
      <c r="AD12" s="8">
        <v>5.33E-2</v>
      </c>
      <c r="AE12" s="8">
        <f t="shared" si="38"/>
        <v>16081.393653047704</v>
      </c>
      <c r="AF12" s="8">
        <f t="shared" si="39"/>
        <v>7207412.5832092743</v>
      </c>
      <c r="AG12" s="61">
        <v>3.8580000000000001</v>
      </c>
      <c r="AH12" s="27">
        <v>1.8660000000000001E-5</v>
      </c>
      <c r="AI12" s="27">
        <v>996.2</v>
      </c>
      <c r="AJ12" s="27">
        <v>8.206E-4</v>
      </c>
      <c r="AK12" s="8">
        <f t="shared" si="40"/>
        <v>20.110322311208293</v>
      </c>
      <c r="AL12" s="8">
        <f t="shared" si="41"/>
        <v>16.064854476582074</v>
      </c>
      <c r="AM12" s="8">
        <f t="shared" si="42"/>
        <v>36.175176787790363</v>
      </c>
      <c r="AN12" s="11">
        <f t="shared" si="43"/>
        <v>2.5036420143765814</v>
      </c>
      <c r="AO12" s="11">
        <f t="shared" si="44"/>
        <v>2</v>
      </c>
      <c r="AP12" s="8">
        <f t="shared" si="45"/>
        <v>4.503642014376581</v>
      </c>
      <c r="AQ12" s="8">
        <f t="shared" si="46"/>
        <v>4.8245584400539668E-3</v>
      </c>
      <c r="AR12" s="8">
        <f t="shared" si="47"/>
        <v>0.5559149697920982</v>
      </c>
      <c r="AS12" s="8">
        <f t="shared" si="48"/>
        <v>5.3299999999999993E-2</v>
      </c>
      <c r="AT12" s="8">
        <v>7.4999999999999997E-2</v>
      </c>
      <c r="AU12" s="8">
        <f t="shared" si="49"/>
        <v>19.202676582729396</v>
      </c>
      <c r="AV12" s="8">
        <f t="shared" si="50"/>
        <v>27589.893489553942</v>
      </c>
      <c r="AW12" s="8">
        <f t="shared" si="51"/>
        <v>129411.30879844018</v>
      </c>
      <c r="AX12" s="8">
        <f t="shared" si="52"/>
        <v>126593.10973953431</v>
      </c>
      <c r="AY12" s="8">
        <f t="shared" ref="AY12:AY17" si="54">+(-2*LOG10((((AY$1/1000)/AD12)/3.7065)-(5.0452/AX12*LOG10((((AY$1/1000)/AD12)^1.1098)+(5.8506/AX12^0.8981)))))^(-1/0.5)</f>
        <v>1.7371496798634801E-2</v>
      </c>
      <c r="AZ12" s="22">
        <v>0.52650906847091405</v>
      </c>
      <c r="BA12" s="8"/>
      <c r="BB12" s="8">
        <f t="shared" si="27"/>
        <v>473.72293797543625</v>
      </c>
      <c r="BK12">
        <f>BK6</f>
        <v>1</v>
      </c>
      <c r="BL12">
        <f>BL6*(1+BK$3)</f>
        <v>1.1000000000000001</v>
      </c>
    </row>
    <row r="13" spans="1:77" x14ac:dyDescent="0.35">
      <c r="A13" s="5" t="s">
        <v>183</v>
      </c>
      <c r="B13" s="25" t="s">
        <v>112</v>
      </c>
      <c r="C13" s="8">
        <v>4</v>
      </c>
      <c r="D13" s="21">
        <f t="shared" si="53"/>
        <v>0.64516129032258063</v>
      </c>
      <c r="E13" s="43">
        <f t="shared" si="34"/>
        <v>0.92999999999999994</v>
      </c>
      <c r="F13" s="21">
        <v>0.6</v>
      </c>
      <c r="G13" s="21">
        <v>0.33</v>
      </c>
      <c r="I13" s="22">
        <v>0.63513707753479098</v>
      </c>
      <c r="J13" s="22">
        <v>28.933287091451199</v>
      </c>
      <c r="K13" s="70">
        <f t="shared" si="35"/>
        <v>4.8194563429746218</v>
      </c>
      <c r="L13" s="70">
        <f t="shared" si="35"/>
        <v>2.650700988636042</v>
      </c>
      <c r="N13" s="22">
        <v>8.0462312524850894</v>
      </c>
      <c r="O13" s="22">
        <v>30.0555643074884</v>
      </c>
      <c r="P13" s="8">
        <f t="shared" si="36"/>
        <v>0.87437110800381068</v>
      </c>
      <c r="Q13" s="8">
        <f t="shared" si="37"/>
        <v>2.650700988636042</v>
      </c>
      <c r="R13" s="8">
        <f t="shared" si="28"/>
        <v>0.5</v>
      </c>
      <c r="S13" s="61">
        <v>10.58</v>
      </c>
      <c r="T13" s="27">
        <v>1.859E-5</v>
      </c>
      <c r="U13" s="8">
        <f t="shared" si="29"/>
        <v>9.2508463226803173</v>
      </c>
      <c r="V13" s="8">
        <f t="shared" si="30"/>
        <v>1.9173260577640547</v>
      </c>
      <c r="W13" s="8">
        <f t="shared" si="31"/>
        <v>1</v>
      </c>
      <c r="X13" s="8">
        <v>1.5526677282968799</v>
      </c>
      <c r="Y13" s="8">
        <v>28.906654569251099</v>
      </c>
      <c r="Z13" s="27">
        <v>996</v>
      </c>
      <c r="AA13" s="27">
        <v>8.1660000000000001E-4</v>
      </c>
      <c r="AB13" s="8">
        <f t="shared" si="32"/>
        <v>2640.098184681498</v>
      </c>
      <c r="AC13" s="8">
        <f t="shared" si="33"/>
        <v>1.4531181412362826</v>
      </c>
      <c r="AD13" s="8">
        <v>5.33E-2</v>
      </c>
      <c r="AE13" s="8">
        <f t="shared" si="38"/>
        <v>2649.3490310041784</v>
      </c>
      <c r="AF13" s="8">
        <f t="shared" si="39"/>
        <v>1187394.0751244521</v>
      </c>
      <c r="AG13" s="27">
        <v>1.8859999999999999</v>
      </c>
      <c r="AH13" s="27">
        <v>1.8649999999999999E-5</v>
      </c>
      <c r="AI13" s="27">
        <v>996.9</v>
      </c>
      <c r="AJ13" s="27">
        <v>8.7219999999999995E-4</v>
      </c>
      <c r="AK13" s="8">
        <f t="shared" si="40"/>
        <v>4.905008654655524</v>
      </c>
      <c r="AL13" s="8">
        <f t="shared" si="41"/>
        <v>2.6483079392933071</v>
      </c>
      <c r="AM13" s="8">
        <f t="shared" si="42"/>
        <v>7.5533165939488311</v>
      </c>
      <c r="AN13" s="11">
        <f t="shared" si="43"/>
        <v>0.61065086668610824</v>
      </c>
      <c r="AO13" s="11">
        <f t="shared" si="44"/>
        <v>0.32970207643695454</v>
      </c>
      <c r="AP13" s="8">
        <f t="shared" si="45"/>
        <v>0.94035294312306283</v>
      </c>
      <c r="AQ13" s="8">
        <f t="shared" si="46"/>
        <v>3.4917431468718127E-3</v>
      </c>
      <c r="AR13" s="8">
        <f>+AK13/AM13</f>
        <v>0.64938475617254821</v>
      </c>
      <c r="AS13" s="8">
        <f t="shared" si="48"/>
        <v>5.3299999999999993E-2</v>
      </c>
      <c r="AT13" s="8">
        <v>7.4999999999999997E-2</v>
      </c>
      <c r="AU13" s="8">
        <f t="shared" si="49"/>
        <v>19.228511959529474</v>
      </c>
      <c r="AV13" s="8">
        <f t="shared" si="50"/>
        <v>3291.4179942402689</v>
      </c>
      <c r="AW13" s="8">
        <f t="shared" si="51"/>
        <v>20085.581288695252</v>
      </c>
      <c r="AX13" s="8">
        <f t="shared" si="52"/>
        <v>19445.810112621752</v>
      </c>
      <c r="AY13" s="8">
        <f t="shared" si="54"/>
        <v>2.6146250272634706E-2</v>
      </c>
      <c r="AZ13" s="22">
        <v>0.41608035722514702</v>
      </c>
      <c r="BA13" s="8"/>
      <c r="BB13" s="8">
        <f t="shared" si="27"/>
        <v>582.89421943597756</v>
      </c>
    </row>
    <row r="14" spans="1:77" x14ac:dyDescent="0.35">
      <c r="A14" s="5" t="s">
        <v>184</v>
      </c>
      <c r="B14" s="25" t="s">
        <v>112</v>
      </c>
      <c r="C14" s="8">
        <v>5</v>
      </c>
      <c r="D14" s="21">
        <f t="shared" si="53"/>
        <v>0.49242424242424243</v>
      </c>
      <c r="E14" s="43">
        <f t="shared" si="34"/>
        <v>1.32</v>
      </c>
      <c r="F14" s="21">
        <v>0.65</v>
      </c>
      <c r="G14" s="21">
        <v>0.67</v>
      </c>
      <c r="I14" s="22">
        <v>0.70159015540983705</v>
      </c>
      <c r="J14" s="22">
        <v>28.7741247495082</v>
      </c>
      <c r="K14" s="70">
        <f t="shared" si="35"/>
        <v>5.2210777048891739</v>
      </c>
      <c r="L14" s="70">
        <f t="shared" si="35"/>
        <v>5.381726249654994</v>
      </c>
      <c r="N14" s="22">
        <v>7.9558044222950901</v>
      </c>
      <c r="O14" s="22">
        <v>30.5727138255738</v>
      </c>
      <c r="P14" s="8">
        <f t="shared" si="36"/>
        <v>0.99790972348519247</v>
      </c>
      <c r="Q14" s="8">
        <f t="shared" si="37"/>
        <v>5.381726249654994</v>
      </c>
      <c r="R14" s="8">
        <f t="shared" si="28"/>
        <v>0.5</v>
      </c>
      <c r="S14" s="61">
        <v>10.29</v>
      </c>
      <c r="T14" s="27">
        <v>1.8830000000000001E-5</v>
      </c>
      <c r="U14" s="8">
        <f t="shared" si="29"/>
        <v>10.268491054662629</v>
      </c>
      <c r="V14" s="8">
        <f t="shared" si="30"/>
        <v>2.1882222532516975</v>
      </c>
      <c r="W14" s="8">
        <f t="shared" si="31"/>
        <v>1</v>
      </c>
      <c r="X14" s="8">
        <v>1.8045268609836</v>
      </c>
      <c r="Y14" s="8">
        <v>28.751152306885299</v>
      </c>
      <c r="Z14" s="27">
        <v>996.1</v>
      </c>
      <c r="AA14" s="27">
        <v>8.1939999999999997E-4</v>
      </c>
      <c r="AB14" s="8">
        <f t="shared" si="32"/>
        <v>5360.7375172813399</v>
      </c>
      <c r="AC14" s="8">
        <f t="shared" si="33"/>
        <v>2.9502701655403309</v>
      </c>
      <c r="AD14" s="8">
        <v>5.33E-2</v>
      </c>
      <c r="AE14" s="8">
        <f t="shared" si="38"/>
        <v>5371.0060083360022</v>
      </c>
      <c r="AF14" s="8">
        <f t="shared" si="39"/>
        <v>2407195.3665307546</v>
      </c>
      <c r="AG14" s="27">
        <v>1.964</v>
      </c>
      <c r="AH14" s="27">
        <v>1.8640000000000001E-5</v>
      </c>
      <c r="AI14" s="27">
        <v>996.2</v>
      </c>
      <c r="AJ14" s="27">
        <v>8.3140000000000004E-4</v>
      </c>
      <c r="AK14" s="8">
        <f t="shared" si="40"/>
        <v>5.2283559341459416</v>
      </c>
      <c r="AL14" s="8">
        <f t="shared" si="41"/>
        <v>5.3811860241731981</v>
      </c>
      <c r="AM14" s="8">
        <f t="shared" si="42"/>
        <v>10.60954195831914</v>
      </c>
      <c r="AN14" s="11">
        <f t="shared" si="43"/>
        <v>0.65090610584333364</v>
      </c>
      <c r="AO14" s="11">
        <f t="shared" si="44"/>
        <v>0.66993274442882955</v>
      </c>
      <c r="AP14" s="8">
        <f t="shared" si="45"/>
        <v>1.3208388502721631</v>
      </c>
      <c r="AQ14" s="8">
        <f t="shared" si="46"/>
        <v>1.9118375661329641E-3</v>
      </c>
      <c r="AR14" s="8">
        <f t="shared" si="47"/>
        <v>0.49279751705456898</v>
      </c>
      <c r="AS14" s="8">
        <f t="shared" si="48"/>
        <v>5.3299999999999993E-2</v>
      </c>
      <c r="AT14" s="8">
        <v>7.4999999999999997E-2</v>
      </c>
      <c r="AU14" s="8">
        <f t="shared" si="49"/>
        <v>19.220993116726095</v>
      </c>
      <c r="AV14" s="8">
        <f t="shared" si="50"/>
        <v>3655.4523737664795</v>
      </c>
      <c r="AW14" s="8">
        <f t="shared" si="51"/>
        <v>42785.334496030795</v>
      </c>
      <c r="AX14" s="8">
        <f t="shared" si="52"/>
        <v>41951.129510636798</v>
      </c>
      <c r="AY14" s="8">
        <f t="shared" si="54"/>
        <v>2.1866194401301515E-2</v>
      </c>
      <c r="AZ14" s="22">
        <v>0.35742712493888101</v>
      </c>
      <c r="BA14" s="8"/>
      <c r="BB14" s="8">
        <f t="shared" si="27"/>
        <v>640.83308500926682</v>
      </c>
    </row>
    <row r="15" spans="1:77" x14ac:dyDescent="0.35">
      <c r="A15" s="5" t="s">
        <v>185</v>
      </c>
      <c r="B15" s="25" t="s">
        <v>112</v>
      </c>
      <c r="C15" s="8">
        <v>6</v>
      </c>
      <c r="D15" s="21">
        <f t="shared" si="53"/>
        <v>0.66326530612244905</v>
      </c>
      <c r="E15" s="43">
        <f t="shared" si="34"/>
        <v>1.96</v>
      </c>
      <c r="F15" s="21">
        <v>1.3</v>
      </c>
      <c r="G15" s="21">
        <v>0.66</v>
      </c>
      <c r="I15" s="22">
        <v>0.66001557971981395</v>
      </c>
      <c r="J15" s="22">
        <v>29.429466557038001</v>
      </c>
      <c r="K15" s="70">
        <f t="shared" si="35"/>
        <v>10.442155409778348</v>
      </c>
      <c r="L15" s="70">
        <f t="shared" si="35"/>
        <v>5.301401977272084</v>
      </c>
      <c r="N15" s="23">
        <v>8.0101021894596407</v>
      </c>
      <c r="O15" s="23">
        <v>31.657708631087399</v>
      </c>
      <c r="P15" s="8">
        <f t="shared" si="36"/>
        <v>1.9380307691844518</v>
      </c>
      <c r="Q15" s="8">
        <f t="shared" si="37"/>
        <v>5.301401977272084</v>
      </c>
      <c r="R15" s="8">
        <f t="shared" si="28"/>
        <v>0.5</v>
      </c>
      <c r="S15" s="61">
        <v>10.32</v>
      </c>
      <c r="T15" s="27">
        <v>1.889E-5</v>
      </c>
      <c r="U15" s="8">
        <f t="shared" si="29"/>
        <v>20.000477537983542</v>
      </c>
      <c r="V15" s="8">
        <f t="shared" si="30"/>
        <v>4.2497251573066261</v>
      </c>
      <c r="W15" s="8">
        <f t="shared" si="31"/>
        <v>1</v>
      </c>
      <c r="X15" s="8">
        <v>1.5892511734489601</v>
      </c>
      <c r="Y15" s="8">
        <v>29.446236660440299</v>
      </c>
      <c r="Z15" s="27">
        <v>995.9</v>
      </c>
      <c r="AA15" s="27">
        <v>8.072E-4</v>
      </c>
      <c r="AB15" s="8">
        <f t="shared" si="32"/>
        <v>5279.6662291652683</v>
      </c>
      <c r="AC15" s="8">
        <f t="shared" si="33"/>
        <v>2.9062362824725652</v>
      </c>
      <c r="AD15" s="8">
        <v>5.33E-2</v>
      </c>
      <c r="AE15" s="8">
        <f t="shared" si="38"/>
        <v>5299.6667067032522</v>
      </c>
      <c r="AF15" s="41">
        <f t="shared" si="39"/>
        <v>2375222.2806553398</v>
      </c>
      <c r="AG15" s="27">
        <v>1.9119999999999999</v>
      </c>
      <c r="AH15" s="27">
        <v>1.8669999999999999E-5</v>
      </c>
      <c r="AI15" s="27">
        <v>996</v>
      </c>
      <c r="AJ15" s="27">
        <v>8.1780000000000004E-4</v>
      </c>
      <c r="AK15" s="8">
        <f t="shared" si="40"/>
        <v>10.460500804384699</v>
      </c>
      <c r="AL15" s="8">
        <f t="shared" si="41"/>
        <v>5.3008697079972578</v>
      </c>
      <c r="AM15" s="8">
        <f t="shared" si="42"/>
        <v>15.761370512381957</v>
      </c>
      <c r="AN15" s="11">
        <f t="shared" si="43"/>
        <v>1.3022839166869633</v>
      </c>
      <c r="AO15" s="11">
        <f t="shared" si="44"/>
        <v>0.65993373493975904</v>
      </c>
      <c r="AP15" s="8">
        <f t="shared" si="45"/>
        <v>1.9622176516267222</v>
      </c>
      <c r="AQ15" s="8">
        <f t="shared" si="46"/>
        <v>3.7739123316351303E-3</v>
      </c>
      <c r="AR15" s="8">
        <f t="shared" si="47"/>
        <v>0.66367964614289388</v>
      </c>
      <c r="AS15" s="8">
        <f t="shared" si="48"/>
        <v>5.3299999999999993E-2</v>
      </c>
      <c r="AT15" s="8">
        <v>7.4999999999999997E-2</v>
      </c>
      <c r="AU15" s="8">
        <f t="shared" si="49"/>
        <v>19.219562464017123</v>
      </c>
      <c r="AV15" s="8">
        <f t="shared" si="50"/>
        <v>7108.4752563471748</v>
      </c>
      <c r="AW15" s="8">
        <f t="shared" si="51"/>
        <v>42839.044020542919</v>
      </c>
      <c r="AX15" s="8">
        <f t="shared" si="52"/>
        <v>41298.744839897648</v>
      </c>
      <c r="AY15" s="8">
        <f t="shared" si="54"/>
        <v>2.194263967220101E-2</v>
      </c>
      <c r="AZ15" s="22">
        <v>0.52721014560685597</v>
      </c>
      <c r="BA15" s="8"/>
      <c r="BB15" s="8">
        <f t="shared" si="27"/>
        <v>471.90672077397176</v>
      </c>
    </row>
    <row r="16" spans="1:77" x14ac:dyDescent="0.35">
      <c r="A16" s="5" t="s">
        <v>186</v>
      </c>
      <c r="B16" s="25" t="s">
        <v>112</v>
      </c>
      <c r="C16" s="8">
        <v>7</v>
      </c>
      <c r="D16" s="21">
        <f t="shared" si="53"/>
        <v>0.40476190476190477</v>
      </c>
      <c r="E16" s="43">
        <f t="shared" si="34"/>
        <v>0.84000000000000008</v>
      </c>
      <c r="F16" s="21">
        <v>0.34</v>
      </c>
      <c r="G16" s="21">
        <v>0.5</v>
      </c>
      <c r="I16" s="77">
        <v>0.73763851610824804</v>
      </c>
      <c r="J16" s="77">
        <v>27.573332835051598</v>
      </c>
      <c r="K16" s="70">
        <f t="shared" si="35"/>
        <v>2.7310252610189525</v>
      </c>
      <c r="L16" s="70">
        <f t="shared" si="35"/>
        <v>4.0162136191455184</v>
      </c>
      <c r="N16" s="63">
        <v>7.9350294265463699</v>
      </c>
      <c r="O16" s="63">
        <v>27.619237996778299</v>
      </c>
      <c r="P16" s="8">
        <f t="shared" si="36"/>
        <v>0.53119684544793189</v>
      </c>
      <c r="Q16" s="8">
        <f t="shared" si="37"/>
        <v>4.0162136191455184</v>
      </c>
      <c r="R16" s="8">
        <f t="shared" si="28"/>
        <v>0.5</v>
      </c>
      <c r="S16" s="61">
        <v>10.37</v>
      </c>
      <c r="T16" s="27">
        <v>1.8689999999999999E-5</v>
      </c>
      <c r="U16" s="8">
        <f t="shared" si="29"/>
        <v>5.508511287295053</v>
      </c>
      <c r="V16" s="8">
        <f t="shared" si="30"/>
        <v>1.1648115362646982</v>
      </c>
      <c r="W16" s="8">
        <f t="shared" si="31"/>
        <v>1</v>
      </c>
      <c r="X16" s="8">
        <v>1.89450808247423</v>
      </c>
      <c r="Y16" s="8">
        <v>27.530813590850499</v>
      </c>
      <c r="Z16" s="27">
        <v>996.5</v>
      </c>
      <c r="AA16" s="27">
        <v>8.4150000000000002E-4</v>
      </c>
      <c r="AB16" s="18">
        <f t="shared" si="32"/>
        <v>4002.1568714785089</v>
      </c>
      <c r="AC16" s="8">
        <f t="shared" si="33"/>
        <v>2.2016941533883068</v>
      </c>
      <c r="AD16" s="8">
        <v>5.33E-2</v>
      </c>
      <c r="AE16" s="18">
        <f t="shared" si="38"/>
        <v>4007.6653827658042</v>
      </c>
      <c r="AF16" s="41">
        <f t="shared" si="39"/>
        <v>1796168.8229405589</v>
      </c>
      <c r="AG16" s="27">
        <v>2.0139999999999998</v>
      </c>
      <c r="AH16" s="27">
        <v>1.8580000000000002E-5</v>
      </c>
      <c r="AI16" s="27">
        <v>996</v>
      </c>
      <c r="AJ16" s="27">
        <v>8.1780000000000004E-4</v>
      </c>
      <c r="AK16" s="8">
        <f t="shared" si="40"/>
        <v>2.735109874525846</v>
      </c>
      <c r="AL16" s="8">
        <f t="shared" si="41"/>
        <v>4.0182297906410733</v>
      </c>
      <c r="AM16" s="8">
        <f t="shared" si="42"/>
        <v>6.7533396651669193</v>
      </c>
      <c r="AN16" s="11">
        <f t="shared" si="43"/>
        <v>0.34050851546932437</v>
      </c>
      <c r="AO16" s="11">
        <f t="shared" si="44"/>
        <v>0.50025100401606426</v>
      </c>
      <c r="AP16" s="8">
        <f t="shared" si="45"/>
        <v>0.84075951948538863</v>
      </c>
      <c r="AQ16" s="8">
        <f t="shared" si="46"/>
        <v>1.3744938165205481E-3</v>
      </c>
      <c r="AR16" s="8">
        <f t="shared" si="47"/>
        <v>0.40500108244714556</v>
      </c>
      <c r="AS16" s="8">
        <f t="shared" si="48"/>
        <v>5.3299999999999993E-2</v>
      </c>
      <c r="AT16" s="8">
        <v>7.4999999999999997E-2</v>
      </c>
      <c r="AU16" s="8">
        <f t="shared" si="49"/>
        <v>19.21857641164485</v>
      </c>
      <c r="AV16" s="8">
        <f t="shared" si="50"/>
        <v>1967.2925297778891</v>
      </c>
      <c r="AW16" s="8">
        <f t="shared" si="51"/>
        <v>32473.373685497674</v>
      </c>
      <c r="AX16" s="8">
        <f t="shared" si="52"/>
        <v>32008.793967384801</v>
      </c>
      <c r="AY16" s="8">
        <f t="shared" si="54"/>
        <v>2.3244338418425967E-2</v>
      </c>
      <c r="AZ16" s="22">
        <v>0.25817401873832702</v>
      </c>
      <c r="BA16" s="8"/>
      <c r="BB16" s="8">
        <f t="shared" si="27"/>
        <v>739.37863981036537</v>
      </c>
    </row>
    <row r="17" spans="1:56" x14ac:dyDescent="0.35">
      <c r="A17" s="5" t="s">
        <v>187</v>
      </c>
      <c r="B17" s="25" t="s">
        <v>112</v>
      </c>
      <c r="C17" s="8">
        <v>8</v>
      </c>
      <c r="D17" s="21">
        <f t="shared" si="53"/>
        <v>0.6330275229357798</v>
      </c>
      <c r="E17" s="43">
        <f t="shared" si="34"/>
        <v>1.0899999999999999</v>
      </c>
      <c r="F17" s="21">
        <v>0.69</v>
      </c>
      <c r="G17" s="21">
        <v>0.4</v>
      </c>
      <c r="I17" s="77">
        <v>0.63532992200000105</v>
      </c>
      <c r="J17" s="77">
        <v>28.871963517333299</v>
      </c>
      <c r="K17" s="70">
        <f t="shared" si="35"/>
        <v>5.542374794420815</v>
      </c>
      <c r="L17" s="70">
        <f t="shared" si="35"/>
        <v>3.2129708953164147</v>
      </c>
      <c r="N17" s="63">
        <v>8.2433174166666792</v>
      </c>
      <c r="O17" s="63">
        <v>30.933320492</v>
      </c>
      <c r="P17" s="8">
        <f t="shared" si="36"/>
        <v>0.98725409154407173</v>
      </c>
      <c r="Q17" s="8">
        <f t="shared" si="37"/>
        <v>3.2129708953164147</v>
      </c>
      <c r="R17" s="8">
        <f t="shared" si="28"/>
        <v>0.5</v>
      </c>
      <c r="S17" s="61">
        <v>10.61</v>
      </c>
      <c r="T17" s="27">
        <v>1.8859999999999999E-5</v>
      </c>
      <c r="U17" s="8">
        <f t="shared" si="29"/>
        <v>10.474765911282601</v>
      </c>
      <c r="V17" s="8">
        <f t="shared" si="30"/>
        <v>2.1648565214752939</v>
      </c>
      <c r="W17" s="8">
        <f t="shared" si="31"/>
        <v>1</v>
      </c>
      <c r="X17" s="8">
        <v>1.560404516</v>
      </c>
      <c r="Y17" s="8">
        <v>28.873618605333299</v>
      </c>
      <c r="Z17" s="27">
        <v>996.1</v>
      </c>
      <c r="AA17" s="27">
        <v>8.1720000000000002E-4</v>
      </c>
      <c r="AB17" s="18">
        <f t="shared" si="32"/>
        <v>3200.4403088246809</v>
      </c>
      <c r="AC17" s="8">
        <f t="shared" si="33"/>
        <v>1.7613553227106455</v>
      </c>
      <c r="AD17" s="8">
        <v>5.33E-2</v>
      </c>
      <c r="AE17" s="18">
        <f t="shared" si="38"/>
        <v>3210.9150747359636</v>
      </c>
      <c r="AF17" s="41">
        <f t="shared" si="39"/>
        <v>1439078.6154832076</v>
      </c>
      <c r="AG17" s="27">
        <v>1.887</v>
      </c>
      <c r="AH17" s="27">
        <v>1.8640000000000001E-5</v>
      </c>
      <c r="AI17" s="27">
        <v>996</v>
      </c>
      <c r="AJ17" s="27">
        <v>8.1720000000000002E-4</v>
      </c>
      <c r="AK17" s="8">
        <f t="shared" si="40"/>
        <v>5.551015321294436</v>
      </c>
      <c r="AL17" s="8">
        <f t="shared" si="41"/>
        <v>3.2132934827557036</v>
      </c>
      <c r="AM17" s="8">
        <f t="shared" si="42"/>
        <v>8.76430880405014</v>
      </c>
      <c r="AN17" s="11">
        <f t="shared" si="43"/>
        <v>0.69107570558901932</v>
      </c>
      <c r="AO17" s="11">
        <f t="shared" si="44"/>
        <v>0.40004016064257031</v>
      </c>
      <c r="AP17" s="8">
        <f t="shared" si="45"/>
        <v>1.0911158662315896</v>
      </c>
      <c r="AQ17" s="8">
        <f t="shared" si="46"/>
        <v>3.2622369846215726E-3</v>
      </c>
      <c r="AR17" s="8">
        <f t="shared" si="47"/>
        <v>0.63336601270019321</v>
      </c>
      <c r="AS17" s="8">
        <f t="shared" si="48"/>
        <v>5.3299999999999993E-2</v>
      </c>
      <c r="AT17" s="8">
        <v>7.4999999999999997E-2</v>
      </c>
      <c r="AU17" s="8">
        <f t="shared" si="49"/>
        <v>19.219804135801073</v>
      </c>
      <c r="AV17" s="8">
        <f t="shared" si="50"/>
        <v>3728.8836023925614</v>
      </c>
      <c r="AW17" s="8">
        <f t="shared" si="51"/>
        <v>25987.33724914342</v>
      </c>
      <c r="AX17" s="8">
        <f t="shared" si="52"/>
        <v>25143.516469181479</v>
      </c>
      <c r="AY17" s="8">
        <f t="shared" si="54"/>
        <v>2.4587077679474205E-2</v>
      </c>
      <c r="AZ17" s="22">
        <v>0.42515645916363798</v>
      </c>
      <c r="BA17" s="8"/>
      <c r="BB17" s="8">
        <f t="shared" si="27"/>
        <v>573.34643691145834</v>
      </c>
    </row>
    <row r="19" spans="1:56" x14ac:dyDescent="0.35">
      <c r="A19" s="71" t="s">
        <v>194</v>
      </c>
      <c r="B19" s="72" t="s">
        <v>111</v>
      </c>
      <c r="C19" s="76">
        <v>1</v>
      </c>
      <c r="D19" s="21">
        <f t="shared" si="53"/>
        <v>0.4</v>
      </c>
      <c r="E19" s="43">
        <f t="shared" si="34"/>
        <v>0.15</v>
      </c>
      <c r="F19" s="75">
        <v>0.06</v>
      </c>
      <c r="G19" s="75">
        <v>0.09</v>
      </c>
      <c r="I19" s="18">
        <v>0.46654117721519001</v>
      </c>
      <c r="J19" s="18">
        <v>25.483556449700199</v>
      </c>
      <c r="K19" s="70">
        <f t="shared" ref="K19" si="55">+F19*3600*(PI()/4*0.0533^2)</f>
        <v>0.48194563429746218</v>
      </c>
      <c r="L19" s="70">
        <f t="shared" ref="L19" si="56">+G19*3600*(PI()/4*0.0533^2)</f>
        <v>0.72291845144619327</v>
      </c>
      <c r="N19">
        <v>8.1490551459027198</v>
      </c>
      <c r="O19">
        <v>21.369736994004001</v>
      </c>
      <c r="P19" s="70">
        <f t="shared" ref="P19" si="57">+K19*((I19+1)/(N19+1))*((O19+273)/(J19+273))</f>
        <v>7.6188393449695579E-2</v>
      </c>
      <c r="Q19" s="70">
        <f t="shared" ref="Q19" si="58">+L19</f>
        <v>0.72291845144619327</v>
      </c>
      <c r="R19" s="70">
        <f t="shared" si="28"/>
        <v>0.5</v>
      </c>
      <c r="S19" s="27">
        <v>10.85</v>
      </c>
      <c r="T19" s="27">
        <v>1.84E-5</v>
      </c>
      <c r="U19" s="70">
        <f t="shared" ref="U19" si="59">+P19*S19</f>
        <v>0.82664406892919706</v>
      </c>
      <c r="V19" s="70">
        <f t="shared" ref="V19" si="60">+(P19/3600)/(PI()/4*(R19*25.4/1000)^2)</f>
        <v>0.16706635285991739</v>
      </c>
      <c r="W19" s="70">
        <f t="shared" si="31"/>
        <v>1</v>
      </c>
      <c r="X19" s="74">
        <v>2.2661510639573601</v>
      </c>
      <c r="Y19" s="74">
        <v>25.524020700199902</v>
      </c>
      <c r="Z19" s="27">
        <v>997</v>
      </c>
      <c r="AA19" s="27">
        <v>8.7989999999999997E-4</v>
      </c>
      <c r="AB19" s="70">
        <f t="shared" ref="AB19" si="61">+Q19*Z19</f>
        <v>720.74969609185473</v>
      </c>
      <c r="AC19" s="70">
        <f t="shared" ref="AC19" si="62">+(Q19/3600)/(PI()/4*(W19*25.4/1000)^2)</f>
        <v>0.39630494760989526</v>
      </c>
      <c r="AD19" s="70">
        <v>5.33E-2</v>
      </c>
      <c r="AE19" s="70">
        <f t="shared" ref="AE19" si="63">+U19+AB19</f>
        <v>721.57634016078396</v>
      </c>
      <c r="AF19" s="41">
        <f t="shared" ref="AF19" si="64">+AE19/(PI()/4*AD19^2)</f>
        <v>323398.48809280945</v>
      </c>
      <c r="AG19" s="27">
        <v>1.7110000000000001</v>
      </c>
      <c r="AH19" s="27">
        <v>1.8479999999999999E-5</v>
      </c>
      <c r="AI19" s="27">
        <v>997</v>
      </c>
      <c r="AJ19" s="27">
        <v>8.8080000000000005E-4</v>
      </c>
      <c r="AK19" s="70">
        <f t="shared" ref="AK19" si="65">+U19/AG19</f>
        <v>0.48313504905271598</v>
      </c>
      <c r="AL19" s="70">
        <f t="shared" ref="AL19" si="66">+AB19/AI19</f>
        <v>0.72291845144619327</v>
      </c>
      <c r="AM19" s="70">
        <f t="shared" ref="AM19" si="67">+AK19+AL19</f>
        <v>1.2060535004989092</v>
      </c>
      <c r="AN19" s="11">
        <f t="shared" ref="AN19" si="68">+(AK19/3600)/(PI()/4*AD19^2)</f>
        <v>6.0148076629886388E-2</v>
      </c>
      <c r="AO19" s="11">
        <f t="shared" ref="AO19" si="69">+(AL19/3600)/(PI()/4*AD19^2)</f>
        <v>0.09</v>
      </c>
      <c r="AP19" s="70">
        <f t="shared" ref="AP19" si="70">+AN19+AO19</f>
        <v>0.15014807662988638</v>
      </c>
      <c r="AQ19" s="70">
        <f t="shared" ref="AQ19" si="71">+U19/(U19+AB19)</f>
        <v>1.1456086112039117E-3</v>
      </c>
      <c r="AR19" s="70">
        <f t="shared" ref="AR19" si="72">+AK19/AM19</f>
        <v>0.40059172238450208</v>
      </c>
      <c r="AS19" s="70">
        <f t="shared" ref="AS19" si="73">4*(PI()/4*AD19^2)/(PI()*AD19)</f>
        <v>5.3299999999999993E-2</v>
      </c>
      <c r="AT19" s="70">
        <v>7.4999999999999997E-2</v>
      </c>
      <c r="AU19" s="70">
        <f t="shared" ref="AU19" si="74">+AS19/(AT19/(9.81*(AI19-AG19)))^0.5</f>
        <v>19.231168944998323</v>
      </c>
      <c r="AV19" s="70">
        <f t="shared" ref="AV19" si="75">+AG19*((AK19/3600)/(PI()/4*AD19^2))*AD19/AH19</f>
        <v>296.82262125336086</v>
      </c>
      <c r="AW19" s="70">
        <f t="shared" ref="AW19" si="76">+AI19*((AL19/3600)/(PI()/4*AD19^2))*AD19/AJ19</f>
        <v>5429.8467302452309</v>
      </c>
      <c r="AX19" s="70">
        <f t="shared" ref="AX19" si="77">+(AQ19^2+(1-AQ19)^2*(AG19/AI19))/((AQ19^2/AV19)+((1-AQ19)^2/AW19)*(AG19/AI19))</f>
        <v>5358.8677253540563</v>
      </c>
      <c r="AY19" s="70">
        <f t="shared" ref="AY19" si="78">+(-2*LOG10((((AY$1/1000)/AD19)/3.7065)-(5.0452/AX19*LOG10((((AY$1/1000)/AD19)^1.1098)+(5.8506/AX19^0.8981)))))^(-1/0.5)</f>
        <v>3.6620972731060492E-2</v>
      </c>
      <c r="AZ19" s="22">
        <v>0.97420292720074697</v>
      </c>
      <c r="BB19" s="70">
        <f t="shared" si="27"/>
        <v>27.386542789295746</v>
      </c>
      <c r="BD19" s="80">
        <f>AN19/((1+0.16*(1-(AG19*AN19/(AG19*AN19+AI19*AO19))))*AP19-(0.01)*(9.81*AT19*((AI19-AG19)/AI19^2))^0.25)</f>
        <v>0.34869105349162888</v>
      </c>
    </row>
    <row r="20" spans="1:56" x14ac:dyDescent="0.35">
      <c r="A20" s="71" t="s">
        <v>195</v>
      </c>
      <c r="B20" s="72" t="s">
        <v>111</v>
      </c>
      <c r="C20" s="76">
        <v>2</v>
      </c>
      <c r="D20" s="21">
        <f t="shared" si="53"/>
        <v>0.4705882352941177</v>
      </c>
      <c r="E20" s="43">
        <f t="shared" si="34"/>
        <v>0.16999999999999998</v>
      </c>
      <c r="F20" s="75">
        <v>0.08</v>
      </c>
      <c r="G20" s="75">
        <v>0.09</v>
      </c>
      <c r="I20" s="18">
        <v>0.44532081782178301</v>
      </c>
      <c r="J20" s="18">
        <v>25.415149973597401</v>
      </c>
      <c r="K20" s="70">
        <f t="shared" ref="K20:K28" si="79">+F20*3600*(PI()/4*0.0533^2)</f>
        <v>0.64259417906328287</v>
      </c>
      <c r="L20" s="70">
        <f t="shared" ref="L20:L28" si="80">+G20*3600*(PI()/4*0.0533^2)</f>
        <v>0.72291845144619327</v>
      </c>
      <c r="N20">
        <v>8.2014404442244206</v>
      </c>
      <c r="O20">
        <v>21.0115004270627</v>
      </c>
      <c r="P20" s="70">
        <f t="shared" ref="P20:P28" si="81">+K20*((I20+1)/(N20+1))*((O20+273)/(J20+273))</f>
        <v>9.9446310793818785E-2</v>
      </c>
      <c r="Q20" s="70">
        <f t="shared" ref="Q20:Q28" si="82">+L20</f>
        <v>0.72291845144619327</v>
      </c>
      <c r="R20" s="70">
        <f t="shared" ref="R20:R28" si="83">+IF(P20&lt;17,0.5,2)</f>
        <v>0.5</v>
      </c>
      <c r="S20" s="27">
        <v>10.93</v>
      </c>
      <c r="T20" s="27">
        <v>1.838E-5</v>
      </c>
      <c r="U20" s="70">
        <f t="shared" ref="U20:U28" si="84">+P20*S20</f>
        <v>1.0869481769764393</v>
      </c>
      <c r="V20" s="70">
        <f t="shared" ref="V20:V28" si="85">+(P20/3600)/(PI()/4*(R20*25.4/1000)^2)</f>
        <v>0.21806644946079412</v>
      </c>
      <c r="W20" s="70">
        <f t="shared" si="31"/>
        <v>1</v>
      </c>
      <c r="X20" s="74">
        <v>2.1576873267326699</v>
      </c>
      <c r="Y20" s="74">
        <v>25.457058919472001</v>
      </c>
      <c r="Z20" s="27">
        <v>997</v>
      </c>
      <c r="AA20" s="27">
        <v>8.8130000000000001E-4</v>
      </c>
      <c r="AB20" s="70">
        <f t="shared" ref="AB20:AB28" si="86">+Q20*Z20</f>
        <v>720.74969609185473</v>
      </c>
      <c r="AC20" s="70">
        <f t="shared" ref="AC20:AC28" si="87">+(Q20/3600)/(PI()/4*(W20*25.4/1000)^2)</f>
        <v>0.39630494760989526</v>
      </c>
      <c r="AD20" s="70">
        <v>5.33E-2</v>
      </c>
      <c r="AE20" s="70">
        <f t="shared" ref="AE20:AE28" si="88">+U20+AB20</f>
        <v>721.83664426883115</v>
      </c>
      <c r="AF20" s="41">
        <f t="shared" ref="AF20:AF28" si="89">+AE20/(PI()/4*AD20^2)</f>
        <v>323515.1520551673</v>
      </c>
      <c r="AG20" s="27">
        <v>1.6870000000000001</v>
      </c>
      <c r="AH20" s="27">
        <v>1.8470000000000001E-5</v>
      </c>
      <c r="AI20" s="27">
        <v>997</v>
      </c>
      <c r="AJ20" s="27">
        <v>8.8210000000000003E-4</v>
      </c>
      <c r="AK20" s="70">
        <f t="shared" ref="AK20:AK28" si="90">+U20/AG20</f>
        <v>0.64430834438437423</v>
      </c>
      <c r="AL20" s="70">
        <f t="shared" ref="AL20:AL28" si="91">+AB20/AI20</f>
        <v>0.72291845144619327</v>
      </c>
      <c r="AM20" s="70">
        <f t="shared" ref="AM20:AM28" si="92">+AK20+AL20</f>
        <v>1.3672267958305675</v>
      </c>
      <c r="AN20" s="11">
        <f t="shared" ref="AN20:AN28" si="93">+(AK20/3600)/(PI()/4*AD20^2)</f>
        <v>8.021340564567081E-2</v>
      </c>
      <c r="AO20" s="11">
        <f t="shared" ref="AO20:AO28" si="94">+(AL20/3600)/(PI()/4*AD20^2)</f>
        <v>0.09</v>
      </c>
      <c r="AP20" s="70">
        <f t="shared" ref="AP20:AP28" si="95">+AN20+AO20</f>
        <v>0.17021340564567081</v>
      </c>
      <c r="AQ20" s="70">
        <f t="shared" ref="AQ20:AQ28" si="96">+U20/(U20+AB20)</f>
        <v>1.5058090852085239E-3</v>
      </c>
      <c r="AR20" s="70">
        <f t="shared" ref="AR20:AR28" si="97">+AK20/AM20</f>
        <v>0.47125198712402916</v>
      </c>
      <c r="AS20" s="70">
        <f t="shared" ref="AS20:AS28" si="98">4*(PI()/4*AD20^2)/(PI()*AD20)</f>
        <v>5.3299999999999993E-2</v>
      </c>
      <c r="AT20" s="70">
        <v>7.4999999999999997E-2</v>
      </c>
      <c r="AU20" s="70">
        <f t="shared" ref="AU20:AU28" si="99">+AS20/(AT20/(9.81*(AI20-AG20)))^0.5</f>
        <v>19.231400809950269</v>
      </c>
      <c r="AV20" s="70">
        <f t="shared" ref="AV20:AV28" si="100">+AG20*((AK20/3600)/(PI()/4*AD20^2))*AD20/AH20</f>
        <v>390.50118120099336</v>
      </c>
      <c r="AW20" s="70">
        <f t="shared" ref="AW20:AW28" si="101">+AI20*((AL20/3600)/(PI()/4*AD20^2))*AD20/AJ20</f>
        <v>5421.8444620791288</v>
      </c>
      <c r="AX20" s="70">
        <f t="shared" ref="AX20:AX28" si="102">+(AQ20^2+(1-AQ20)^2*(AG20/AI20))/((AQ20^2/AV20)+((1-AQ20)^2/AW20)*(AG20/AI20))</f>
        <v>5329.6706712492087</v>
      </c>
      <c r="AY20" s="70">
        <f t="shared" ref="AY20:AY28" si="103">+(-2*LOG10((((AY$1/1000)/AD20)/3.7065)-(5.0452/AX20*LOG10((((AY$1/1000)/AD20)^1.1098)+(5.8506/AX20^0.8981)))))^(-1/0.5)</f>
        <v>3.6677301342943718E-2</v>
      </c>
      <c r="AZ20" s="22">
        <v>0.97576098261074196</v>
      </c>
      <c r="BB20" s="70">
        <f t="shared" si="27"/>
        <v>25.81240911475459</v>
      </c>
      <c r="BD20" s="80">
        <f>AN20/((1+0.16*(1-(AG20*AN20/(AG20*AN20+AI20*AO20))))*AP20-(0.01)*(9.81*AT20*((AI20-AG20)/AI20^2))^0.25)</f>
        <v>0.40975581195519711</v>
      </c>
    </row>
    <row r="21" spans="1:56" x14ac:dyDescent="0.35">
      <c r="A21" s="71" t="s">
        <v>196</v>
      </c>
      <c r="B21" s="72" t="s">
        <v>111</v>
      </c>
      <c r="C21" s="76">
        <v>3</v>
      </c>
      <c r="D21" s="21">
        <f t="shared" si="53"/>
        <v>0.25</v>
      </c>
      <c r="E21" s="43">
        <f t="shared" si="34"/>
        <v>0.88</v>
      </c>
      <c r="F21" s="75">
        <v>0.22</v>
      </c>
      <c r="G21" s="75">
        <v>0.66</v>
      </c>
      <c r="I21" s="18">
        <v>0.37234767149758402</v>
      </c>
      <c r="J21" s="18">
        <v>29.780147025764901</v>
      </c>
      <c r="K21" s="70">
        <f t="shared" si="79"/>
        <v>1.7671339924240279</v>
      </c>
      <c r="L21" s="70">
        <f t="shared" si="80"/>
        <v>5.301401977272084</v>
      </c>
      <c r="N21">
        <v>8.3966917037037092</v>
      </c>
      <c r="O21">
        <v>25.9933783446055</v>
      </c>
      <c r="P21" s="70">
        <f t="shared" si="81"/>
        <v>0.25485480566519797</v>
      </c>
      <c r="Q21" s="70">
        <f t="shared" si="82"/>
        <v>5.301401977272084</v>
      </c>
      <c r="R21" s="70">
        <f t="shared" si="83"/>
        <v>0.5</v>
      </c>
      <c r="S21" s="27">
        <v>10.97</v>
      </c>
      <c r="T21" s="27">
        <v>1.8620000000000001E-5</v>
      </c>
      <c r="U21" s="70">
        <f t="shared" si="84"/>
        <v>2.7957572181472221</v>
      </c>
      <c r="V21" s="70">
        <f t="shared" si="85"/>
        <v>0.55884710207756405</v>
      </c>
      <c r="W21" s="70">
        <f t="shared" si="31"/>
        <v>1</v>
      </c>
      <c r="X21" s="74">
        <v>1.7758596876006401</v>
      </c>
      <c r="Y21" s="74">
        <v>27.946498273751999</v>
      </c>
      <c r="Z21" s="27">
        <v>996.3</v>
      </c>
      <c r="AA21" s="27">
        <v>8.3379999999999999E-4</v>
      </c>
      <c r="AB21" s="70">
        <f t="shared" si="86"/>
        <v>5281.786789956177</v>
      </c>
      <c r="AC21" s="70">
        <f t="shared" si="87"/>
        <v>2.9062362824725652</v>
      </c>
      <c r="AD21" s="70">
        <v>5.33E-2</v>
      </c>
      <c r="AE21" s="70">
        <f t="shared" si="88"/>
        <v>5284.5825471743246</v>
      </c>
      <c r="AF21" s="41">
        <f t="shared" si="89"/>
        <v>2368461.8117842027</v>
      </c>
      <c r="AG21" s="27">
        <v>1.5780000000000001</v>
      </c>
      <c r="AH21" s="27">
        <v>1.8680000000000001E-5</v>
      </c>
      <c r="AI21" s="27">
        <v>995.7</v>
      </c>
      <c r="AJ21" s="27">
        <v>8.0150000000000002E-4</v>
      </c>
      <c r="AK21" s="70">
        <f t="shared" si="90"/>
        <v>1.7717092637181382</v>
      </c>
      <c r="AL21" s="70">
        <f t="shared" si="91"/>
        <v>5.3045965551432932</v>
      </c>
      <c r="AM21" s="70">
        <f t="shared" si="92"/>
        <v>7.0763058188614316</v>
      </c>
      <c r="AN21" s="11">
        <f t="shared" si="93"/>
        <v>0.22056960009202445</v>
      </c>
      <c r="AO21" s="11">
        <f t="shared" si="94"/>
        <v>0.66039771015366067</v>
      </c>
      <c r="AP21" s="70">
        <f t="shared" si="95"/>
        <v>0.88096731024568509</v>
      </c>
      <c r="AQ21" s="70">
        <f t="shared" si="96"/>
        <v>5.2904031551974113E-4</v>
      </c>
      <c r="AR21" s="70">
        <f t="shared" si="97"/>
        <v>0.25037205981060945</v>
      </c>
      <c r="AS21" s="70">
        <f t="shared" si="98"/>
        <v>5.3299999999999993E-2</v>
      </c>
      <c r="AT21" s="70">
        <v>7.4999999999999997E-2</v>
      </c>
      <c r="AU21" s="70">
        <f t="shared" si="99"/>
        <v>19.219891136899395</v>
      </c>
      <c r="AV21" s="70">
        <f t="shared" si="100"/>
        <v>993.12288987044644</v>
      </c>
      <c r="AW21" s="70">
        <f t="shared" si="101"/>
        <v>43727.812102308177</v>
      </c>
      <c r="AX21" s="70">
        <f t="shared" si="102"/>
        <v>43397.726599206835</v>
      </c>
      <c r="AY21" s="70">
        <f t="shared" si="103"/>
        <v>2.1702218767408701E-2</v>
      </c>
      <c r="AZ21" s="22">
        <v>0.98142972905409498</v>
      </c>
      <c r="BB21" s="70">
        <f t="shared" si="27"/>
        <v>20.039114893284992</v>
      </c>
      <c r="BD21" s="80">
        <f t="shared" ref="BD21:BD25" si="104">AN21/((1+0.16*(1-(AG21*AN21/(AG21*AN21+AI21*AO21))))*AP21-(-0.63)*(9.81*AT21*((AI21-AG21)/AI21^2))^0.25)</f>
        <v>0.19594403275165662</v>
      </c>
    </row>
    <row r="22" spans="1:56" x14ac:dyDescent="0.35">
      <c r="A22" s="71" t="s">
        <v>197</v>
      </c>
      <c r="B22" s="72" t="s">
        <v>111</v>
      </c>
      <c r="C22" s="76">
        <v>4</v>
      </c>
      <c r="D22" s="21">
        <f t="shared" si="53"/>
        <v>0.87142857142857144</v>
      </c>
      <c r="E22" s="43">
        <f t="shared" si="34"/>
        <v>0.7</v>
      </c>
      <c r="F22" s="75">
        <v>0.61</v>
      </c>
      <c r="G22" s="75">
        <v>0.09</v>
      </c>
      <c r="I22" s="18">
        <v>0.30325397199999998</v>
      </c>
      <c r="J22" s="18">
        <v>25.118576775333299</v>
      </c>
      <c r="K22" s="70">
        <f t="shared" si="79"/>
        <v>4.8997806153575318</v>
      </c>
      <c r="L22" s="70">
        <f t="shared" si="80"/>
        <v>0.72291845144619327</v>
      </c>
      <c r="N22">
        <v>8.0758946706666599</v>
      </c>
      <c r="O22">
        <v>21.932532754666699</v>
      </c>
      <c r="P22" s="70">
        <f t="shared" si="81"/>
        <v>0.69606514368992478</v>
      </c>
      <c r="Q22" s="70">
        <f t="shared" si="82"/>
        <v>0.72291845144619327</v>
      </c>
      <c r="R22" s="70">
        <f t="shared" si="83"/>
        <v>0.5</v>
      </c>
      <c r="S22" s="27">
        <v>10.74</v>
      </c>
      <c r="T22" s="27">
        <v>1.842E-5</v>
      </c>
      <c r="U22" s="70">
        <f t="shared" si="84"/>
        <v>7.475739643229792</v>
      </c>
      <c r="V22" s="70">
        <f t="shared" si="85"/>
        <v>1.5263357008042373</v>
      </c>
      <c r="W22" s="70">
        <f t="shared" si="31"/>
        <v>1</v>
      </c>
      <c r="X22" s="74">
        <v>1.2178058433333301</v>
      </c>
      <c r="Y22" s="74">
        <v>25.249109296666699</v>
      </c>
      <c r="Z22" s="27">
        <v>997.1</v>
      </c>
      <c r="AA22" s="27">
        <v>8.855E-4</v>
      </c>
      <c r="AB22" s="70">
        <f t="shared" si="86"/>
        <v>720.82198793699934</v>
      </c>
      <c r="AC22" s="70">
        <f t="shared" si="87"/>
        <v>0.39630494760989526</v>
      </c>
      <c r="AD22" s="70">
        <v>5.33E-2</v>
      </c>
      <c r="AE22" s="70">
        <f t="shared" si="88"/>
        <v>728.29772758022909</v>
      </c>
      <c r="AF22" s="41">
        <f t="shared" si="89"/>
        <v>326410.90189901914</v>
      </c>
      <c r="AG22" s="27">
        <v>1.522</v>
      </c>
      <c r="AH22" s="27">
        <v>1.8459999999999999E-5</v>
      </c>
      <c r="AI22" s="27">
        <v>997</v>
      </c>
      <c r="AJ22" s="27">
        <v>8.8809999999999996E-4</v>
      </c>
      <c r="AK22" s="70">
        <f t="shared" si="90"/>
        <v>4.9117868877988125</v>
      </c>
      <c r="AL22" s="70">
        <f t="shared" si="91"/>
        <v>0.72299096081945768</v>
      </c>
      <c r="AM22" s="70">
        <f t="shared" si="92"/>
        <v>5.6347778486182705</v>
      </c>
      <c r="AN22" s="11">
        <f t="shared" si="93"/>
        <v>0.61149472532835969</v>
      </c>
      <c r="AO22" s="11">
        <f t="shared" si="94"/>
        <v>9.0009027081243739E-2</v>
      </c>
      <c r="AP22" s="70">
        <f t="shared" si="95"/>
        <v>0.70150375240960339</v>
      </c>
      <c r="AQ22" s="70">
        <f t="shared" si="96"/>
        <v>1.0264675228450808E-2</v>
      </c>
      <c r="AR22" s="70">
        <f t="shared" si="97"/>
        <v>0.87169131059945049</v>
      </c>
      <c r="AS22" s="70">
        <f t="shared" si="98"/>
        <v>5.3299999999999993E-2</v>
      </c>
      <c r="AT22" s="70">
        <v>7.4999999999999997E-2</v>
      </c>
      <c r="AU22" s="70">
        <f t="shared" si="99"/>
        <v>19.232994805826156</v>
      </c>
      <c r="AV22" s="70">
        <f t="shared" si="100"/>
        <v>2687.2178767563591</v>
      </c>
      <c r="AW22" s="70">
        <f t="shared" si="101"/>
        <v>5385.7546447472141</v>
      </c>
      <c r="AX22" s="70">
        <f t="shared" si="102"/>
        <v>5051.8381429913752</v>
      </c>
      <c r="AY22" s="70">
        <f t="shared" si="103"/>
        <v>3.7235837256991457E-2</v>
      </c>
      <c r="AZ22" s="22">
        <v>0.976299410387788</v>
      </c>
      <c r="BB22" s="70">
        <f t="shared" si="27"/>
        <v>25.115415545985574</v>
      </c>
      <c r="BD22" s="80">
        <f t="shared" si="104"/>
        <v>0.66728734229545217</v>
      </c>
    </row>
    <row r="23" spans="1:56" x14ac:dyDescent="0.35">
      <c r="A23" s="71" t="s">
        <v>198</v>
      </c>
      <c r="B23" s="72" t="s">
        <v>111</v>
      </c>
      <c r="C23" s="76">
        <v>5</v>
      </c>
      <c r="D23" s="21">
        <f t="shared" si="53"/>
        <v>0.9174311926605504</v>
      </c>
      <c r="E23" s="43">
        <f t="shared" si="34"/>
        <v>1.0900000000000001</v>
      </c>
      <c r="F23" s="75">
        <v>1</v>
      </c>
      <c r="G23" s="75">
        <v>0.09</v>
      </c>
      <c r="I23" s="18">
        <v>0.26877590741956697</v>
      </c>
      <c r="J23" s="18">
        <v>25.591053856204802</v>
      </c>
      <c r="K23" s="70">
        <f t="shared" si="79"/>
        <v>8.0324272382910369</v>
      </c>
      <c r="L23" s="70">
        <f t="shared" si="80"/>
        <v>0.72291845144619327</v>
      </c>
      <c r="N23">
        <v>7.8867080577806901</v>
      </c>
      <c r="O23">
        <v>23.284510296126001</v>
      </c>
      <c r="P23" s="70">
        <f t="shared" si="81"/>
        <v>1.1379494387667082</v>
      </c>
      <c r="Q23" s="70">
        <f t="shared" si="82"/>
        <v>0.72291845144619327</v>
      </c>
      <c r="R23" s="70">
        <f t="shared" si="83"/>
        <v>0.5</v>
      </c>
      <c r="S23" s="27">
        <v>10.47</v>
      </c>
      <c r="T23" s="27">
        <v>1.8479999999999999E-5</v>
      </c>
      <c r="U23" s="70">
        <f t="shared" si="84"/>
        <v>11.914330623887436</v>
      </c>
      <c r="V23" s="70">
        <f t="shared" si="85"/>
        <v>2.4953021564796285</v>
      </c>
      <c r="W23" s="70">
        <f t="shared" si="31"/>
        <v>1</v>
      </c>
      <c r="X23" s="74">
        <v>1.0154683512803699</v>
      </c>
      <c r="Y23" s="74">
        <v>25.6821524917925</v>
      </c>
      <c r="Z23" s="27">
        <v>996.9</v>
      </c>
      <c r="AA23" s="27">
        <v>8.7679999999999995E-4</v>
      </c>
      <c r="AB23" s="70">
        <f t="shared" si="86"/>
        <v>720.67740424671001</v>
      </c>
      <c r="AC23" s="70">
        <f t="shared" si="87"/>
        <v>0.39630494760989526</v>
      </c>
      <c r="AD23" s="70">
        <v>5.33E-2</v>
      </c>
      <c r="AE23" s="70">
        <f t="shared" si="88"/>
        <v>732.59173487059741</v>
      </c>
      <c r="AF23" s="41">
        <f t="shared" si="89"/>
        <v>328335.40439206816</v>
      </c>
      <c r="AG23" s="27">
        <v>1.48</v>
      </c>
      <c r="AH23" s="27">
        <v>1.8479999999999999E-5</v>
      </c>
      <c r="AI23" s="27">
        <v>996.9</v>
      </c>
      <c r="AJ23" s="27">
        <v>8.786E-4</v>
      </c>
      <c r="AK23" s="70">
        <f t="shared" si="90"/>
        <v>8.0502233945185377</v>
      </c>
      <c r="AL23" s="70">
        <f t="shared" si="91"/>
        <v>0.72291845144619327</v>
      </c>
      <c r="AM23" s="70">
        <f t="shared" si="92"/>
        <v>8.7731418459647301</v>
      </c>
      <c r="AN23" s="11">
        <f t="shared" si="93"/>
        <v>1.0022155390518406</v>
      </c>
      <c r="AO23" s="11">
        <f t="shared" si="94"/>
        <v>0.09</v>
      </c>
      <c r="AP23" s="70">
        <f t="shared" si="95"/>
        <v>1.0922155390518407</v>
      </c>
      <c r="AQ23" s="70">
        <f t="shared" si="96"/>
        <v>1.6263261045378764E-2</v>
      </c>
      <c r="AR23" s="70">
        <f t="shared" si="97"/>
        <v>0.91759868196150229</v>
      </c>
      <c r="AS23" s="70">
        <f t="shared" si="98"/>
        <v>5.3299999999999993E-2</v>
      </c>
      <c r="AT23" s="70">
        <v>7.4999999999999997E-2</v>
      </c>
      <c r="AU23" s="70">
        <f t="shared" si="99"/>
        <v>19.232434507181868</v>
      </c>
      <c r="AV23" s="70">
        <f t="shared" si="100"/>
        <v>4278.0720012210704</v>
      </c>
      <c r="AW23" s="70">
        <f t="shared" si="101"/>
        <v>5442.8969952196667</v>
      </c>
      <c r="AX23" s="70">
        <f t="shared" si="102"/>
        <v>5221.8439692302918</v>
      </c>
      <c r="AY23" s="70">
        <f t="shared" si="103"/>
        <v>3.6889125619790845E-2</v>
      </c>
      <c r="AZ23" s="22">
        <v>0.97662090510451205</v>
      </c>
      <c r="BB23" s="70">
        <f t="shared" si="27"/>
        <v>24.752018640866616</v>
      </c>
      <c r="BD23" s="80">
        <f t="shared" si="104"/>
        <v>0.7326520877023539</v>
      </c>
    </row>
    <row r="24" spans="1:56" x14ac:dyDescent="0.35">
      <c r="A24" s="71" t="s">
        <v>199</v>
      </c>
      <c r="B24" s="72" t="s">
        <v>111</v>
      </c>
      <c r="C24" s="76">
        <v>6</v>
      </c>
      <c r="D24" s="21">
        <f t="shared" si="53"/>
        <v>0.93661971830985913</v>
      </c>
      <c r="E24" s="43">
        <f t="shared" si="34"/>
        <v>1.4200000000000002</v>
      </c>
      <c r="F24" s="75">
        <v>1.33</v>
      </c>
      <c r="G24" s="75">
        <v>0.09</v>
      </c>
      <c r="I24" s="18">
        <v>0.25985894007989302</v>
      </c>
      <c r="J24" s="18">
        <v>25.4970822017311</v>
      </c>
      <c r="K24" s="70">
        <f t="shared" si="79"/>
        <v>10.683128226927078</v>
      </c>
      <c r="L24" s="70">
        <f t="shared" si="80"/>
        <v>0.72291845144619327</v>
      </c>
      <c r="N24">
        <v>7.9392473555259704</v>
      </c>
      <c r="O24">
        <v>22.141418106524601</v>
      </c>
      <c r="P24" s="70">
        <f t="shared" si="81"/>
        <v>1.4887078484634777</v>
      </c>
      <c r="Q24" s="70">
        <f t="shared" si="82"/>
        <v>0.72291845144619327</v>
      </c>
      <c r="R24" s="70">
        <f t="shared" si="83"/>
        <v>0.5</v>
      </c>
      <c r="S24" s="27">
        <v>10.57</v>
      </c>
      <c r="T24" s="27">
        <v>1.8430000000000001E-5</v>
      </c>
      <c r="U24" s="70">
        <f t="shared" si="84"/>
        <v>15.73564195825896</v>
      </c>
      <c r="V24" s="70">
        <f t="shared" si="85"/>
        <v>3.2644472399978337</v>
      </c>
      <c r="W24" s="70">
        <f t="shared" si="31"/>
        <v>1</v>
      </c>
      <c r="X24" s="74">
        <v>0.95781281291611198</v>
      </c>
      <c r="Y24" s="74">
        <v>25.609540589880201</v>
      </c>
      <c r="Z24" s="27">
        <v>996.9</v>
      </c>
      <c r="AA24" s="27">
        <v>8.7830000000000004E-4</v>
      </c>
      <c r="AB24" s="70">
        <f t="shared" si="86"/>
        <v>720.67740424671001</v>
      </c>
      <c r="AC24" s="70">
        <f t="shared" si="87"/>
        <v>0.39630494760989526</v>
      </c>
      <c r="AD24" s="70">
        <v>5.33E-2</v>
      </c>
      <c r="AE24" s="70">
        <f t="shared" si="88"/>
        <v>736.41304620496896</v>
      </c>
      <c r="AF24" s="41">
        <f t="shared" si="89"/>
        <v>330048.05243675364</v>
      </c>
      <c r="AG24" s="27">
        <v>1.47</v>
      </c>
      <c r="AH24" s="27">
        <v>1.8479999999999999E-5</v>
      </c>
      <c r="AI24" s="27">
        <v>996.9</v>
      </c>
      <c r="AJ24" s="27">
        <v>8.8049999999999999E-4</v>
      </c>
      <c r="AK24" s="70">
        <f t="shared" si="90"/>
        <v>10.704518338951674</v>
      </c>
      <c r="AL24" s="70">
        <f t="shared" si="91"/>
        <v>0.72291845144619327</v>
      </c>
      <c r="AM24" s="70">
        <f t="shared" si="92"/>
        <v>11.427436790397866</v>
      </c>
      <c r="AN24" s="11">
        <f t="shared" si="93"/>
        <v>1.332662969908103</v>
      </c>
      <c r="AO24" s="11">
        <f t="shared" si="94"/>
        <v>0.09</v>
      </c>
      <c r="AP24" s="70">
        <f t="shared" si="95"/>
        <v>1.422662969908103</v>
      </c>
      <c r="AQ24" s="70">
        <f t="shared" si="96"/>
        <v>2.1367956528406194E-2</v>
      </c>
      <c r="AR24" s="70">
        <f t="shared" si="97"/>
        <v>0.936738354829174</v>
      </c>
      <c r="AS24" s="70">
        <f t="shared" si="98"/>
        <v>5.3299999999999993E-2</v>
      </c>
      <c r="AT24" s="70">
        <v>7.4999999999999997E-2</v>
      </c>
      <c r="AU24" s="70">
        <f t="shared" si="99"/>
        <v>19.232531111560949</v>
      </c>
      <c r="AV24" s="70">
        <f t="shared" si="100"/>
        <v>5650.1881144626504</v>
      </c>
      <c r="AW24" s="70">
        <f t="shared" si="101"/>
        <v>5431.1519591141387</v>
      </c>
      <c r="AX24" s="70">
        <f t="shared" si="102"/>
        <v>5483.0841989144974</v>
      </c>
      <c r="AY24" s="70">
        <f t="shared" si="103"/>
        <v>3.6386037449311306E-2</v>
      </c>
      <c r="AZ24" s="22">
        <v>0.97637957854809498</v>
      </c>
      <c r="BB24" s="70">
        <f t="shared" si="27"/>
        <v>24.982476125869809</v>
      </c>
      <c r="BD24" s="80">
        <f t="shared" si="104"/>
        <v>0.76185875487108368</v>
      </c>
    </row>
    <row r="25" spans="1:56" x14ac:dyDescent="0.35">
      <c r="A25" s="71" t="s">
        <v>200</v>
      </c>
      <c r="B25" s="72" t="s">
        <v>111</v>
      </c>
      <c r="C25" s="76">
        <v>7</v>
      </c>
      <c r="D25" s="21">
        <f t="shared" si="53"/>
        <v>0.994733762434172</v>
      </c>
      <c r="E25" s="43">
        <f t="shared" si="34"/>
        <v>17.09</v>
      </c>
      <c r="F25" s="75">
        <v>17</v>
      </c>
      <c r="G25" s="75">
        <v>0.09</v>
      </c>
      <c r="I25" s="18">
        <v>0.588332059136213</v>
      </c>
      <c r="J25" s="18">
        <v>23.415447384717599</v>
      </c>
      <c r="K25" s="70">
        <f t="shared" si="79"/>
        <v>136.55126305094763</v>
      </c>
      <c r="L25" s="70">
        <f t="shared" si="80"/>
        <v>0.72291845144619327</v>
      </c>
      <c r="N25">
        <v>7.8363226119601199</v>
      </c>
      <c r="O25">
        <v>23.291011325581401</v>
      </c>
      <c r="P25" s="70">
        <f t="shared" si="81"/>
        <v>24.534832850495402</v>
      </c>
      <c r="Q25" s="70">
        <f t="shared" si="82"/>
        <v>0.72291845144619327</v>
      </c>
      <c r="R25" s="70">
        <f t="shared" si="83"/>
        <v>2</v>
      </c>
      <c r="S25" s="27">
        <v>10.41</v>
      </c>
      <c r="T25" s="27">
        <v>1.8479999999999999E-5</v>
      </c>
      <c r="U25" s="70">
        <f t="shared" si="84"/>
        <v>255.40760997365715</v>
      </c>
      <c r="V25" s="70">
        <f t="shared" si="85"/>
        <v>3.3625077724817278</v>
      </c>
      <c r="W25" s="70">
        <f t="shared" si="31"/>
        <v>1</v>
      </c>
      <c r="X25" s="74">
        <v>1.15759927043189</v>
      </c>
      <c r="Y25" s="74">
        <v>25.554990526910299</v>
      </c>
      <c r="Z25" s="27">
        <v>997</v>
      </c>
      <c r="AA25" s="27">
        <v>8.7929999999999996E-4</v>
      </c>
      <c r="AB25" s="70">
        <f t="shared" si="86"/>
        <v>720.74969609185473</v>
      </c>
      <c r="AC25" s="70">
        <f t="shared" si="87"/>
        <v>0.39630494760989526</v>
      </c>
      <c r="AD25" s="70">
        <v>5.33E-2</v>
      </c>
      <c r="AE25" s="70">
        <f t="shared" si="88"/>
        <v>976.15730606551188</v>
      </c>
      <c r="AF25" s="41">
        <f t="shared" si="89"/>
        <v>437497.43353834725</v>
      </c>
      <c r="AG25" s="27">
        <v>1.8660000000000001</v>
      </c>
      <c r="AH25" s="27">
        <v>1.838E-5</v>
      </c>
      <c r="AI25" s="27">
        <v>997.5</v>
      </c>
      <c r="AJ25" s="27">
        <v>9.2360000000000001E-4</v>
      </c>
      <c r="AK25" s="70">
        <f t="shared" si="90"/>
        <v>136.87438905340682</v>
      </c>
      <c r="AL25" s="70">
        <f t="shared" si="91"/>
        <v>0.7225560863076238</v>
      </c>
      <c r="AM25" s="70">
        <f t="shared" si="92"/>
        <v>137.59694513971445</v>
      </c>
      <c r="AN25" s="11">
        <f t="shared" si="93"/>
        <v>17.040227691191379</v>
      </c>
      <c r="AO25" s="11">
        <f t="shared" si="94"/>
        <v>8.9954887218045121E-2</v>
      </c>
      <c r="AP25" s="70">
        <f t="shared" si="95"/>
        <v>17.130182578409425</v>
      </c>
      <c r="AQ25" s="70">
        <f t="shared" si="96"/>
        <v>0.26164595438321314</v>
      </c>
      <c r="AR25" s="70">
        <f t="shared" si="97"/>
        <v>0.99474874906870969</v>
      </c>
      <c r="AS25" s="70">
        <f t="shared" si="98"/>
        <v>5.3299999999999993E-2</v>
      </c>
      <c r="AT25" s="70">
        <v>7.4999999999999997E-2</v>
      </c>
      <c r="AU25" s="70">
        <f t="shared" si="99"/>
        <v>19.234501734986743</v>
      </c>
      <c r="AV25" s="70">
        <f t="shared" si="100"/>
        <v>92208.028164579664</v>
      </c>
      <c r="AW25" s="70">
        <f t="shared" si="101"/>
        <v>5178.2254222607189</v>
      </c>
      <c r="AX25" s="70">
        <f t="shared" si="102"/>
        <v>73961.819010861916</v>
      </c>
      <c r="AY25" s="70">
        <f t="shared" si="103"/>
        <v>1.9353958715546966E-2</v>
      </c>
      <c r="AZ25" s="22">
        <v>0.98362321264932095</v>
      </c>
      <c r="BB25" s="70">
        <f t="shared" si="27"/>
        <v>18.171286297105983</v>
      </c>
      <c r="BD25" s="80">
        <f t="shared" si="104"/>
        <v>0.88485454661957075</v>
      </c>
    </row>
    <row r="26" spans="1:56" x14ac:dyDescent="0.35">
      <c r="A26" s="71" t="s">
        <v>201</v>
      </c>
      <c r="B26" s="72" t="s">
        <v>112</v>
      </c>
      <c r="C26" s="76">
        <v>8</v>
      </c>
      <c r="D26" s="21">
        <f>+F26/E26</f>
        <v>0.23809523809523808</v>
      </c>
      <c r="E26" s="43">
        <f>+F26+G26</f>
        <v>1.05</v>
      </c>
      <c r="F26" s="75">
        <v>0.25</v>
      </c>
      <c r="G26" s="75">
        <v>0.8</v>
      </c>
      <c r="I26" s="18">
        <v>2.70941589860135E-2</v>
      </c>
      <c r="J26" s="18">
        <v>27.250251439189199</v>
      </c>
      <c r="K26" s="70">
        <f>+F26*3600*(PI()/4*0.0533^2)</f>
        <v>2.0081068095727592</v>
      </c>
      <c r="L26" s="70">
        <f>+G26*3600*(PI()/4*0.0533^2)</f>
        <v>6.4259417906328293</v>
      </c>
      <c r="N26">
        <v>8.2866301770270194</v>
      </c>
      <c r="O26">
        <v>26.130060454054099</v>
      </c>
      <c r="P26" s="70">
        <f t="shared" si="81"/>
        <v>0.22126646439860065</v>
      </c>
      <c r="Q26" s="70">
        <f t="shared" si="82"/>
        <v>6.4259417906328293</v>
      </c>
      <c r="R26" s="70">
        <f t="shared" si="83"/>
        <v>0.5</v>
      </c>
      <c r="S26" s="27">
        <v>10.84</v>
      </c>
      <c r="T26" s="27">
        <v>1.863E-5</v>
      </c>
      <c r="U26" s="70">
        <f t="shared" si="84"/>
        <v>2.3985284740808308</v>
      </c>
      <c r="V26" s="70">
        <f t="shared" si="85"/>
        <v>0.48519439173750772</v>
      </c>
      <c r="W26" s="70">
        <f t="shared" si="31"/>
        <v>1</v>
      </c>
      <c r="X26" s="74">
        <v>2.4314020743243199</v>
      </c>
      <c r="Y26" s="74">
        <v>27.179242025675698</v>
      </c>
      <c r="Z26" s="27">
        <v>996.6</v>
      </c>
      <c r="AA26" s="27">
        <v>8.4800000000000001E-4</v>
      </c>
      <c r="AB26" s="70">
        <f t="shared" si="86"/>
        <v>6404.0935885446779</v>
      </c>
      <c r="AC26" s="70">
        <f t="shared" si="87"/>
        <v>3.5227106454212911</v>
      </c>
      <c r="AD26" s="70">
        <v>5.33E-2</v>
      </c>
      <c r="AE26" s="70">
        <f t="shared" si="88"/>
        <v>6406.492117018759</v>
      </c>
      <c r="AF26" s="41">
        <f t="shared" si="89"/>
        <v>2871282.9804823045</v>
      </c>
      <c r="AG26" s="27">
        <v>1.1910000000000001</v>
      </c>
      <c r="AH26" s="27">
        <v>1.8559999999999998E-5</v>
      </c>
      <c r="AI26" s="27">
        <v>996.5</v>
      </c>
      <c r="AJ26" s="27">
        <v>8.4670000000000004E-4</v>
      </c>
      <c r="AK26" s="70">
        <f t="shared" si="90"/>
        <v>2.0138778119906218</v>
      </c>
      <c r="AL26" s="70">
        <f t="shared" si="91"/>
        <v>6.4265866417909461</v>
      </c>
      <c r="AM26" s="70">
        <f t="shared" si="92"/>
        <v>8.4404644537815674</v>
      </c>
      <c r="AN26" s="11">
        <f t="shared" si="93"/>
        <v>0.25071846308054335</v>
      </c>
      <c r="AO26" s="11">
        <f t="shared" si="94"/>
        <v>0.80008028098344208</v>
      </c>
      <c r="AP26" s="70">
        <f t="shared" si="95"/>
        <v>1.0507987440639854</v>
      </c>
      <c r="AQ26" s="70">
        <f t="shared" si="96"/>
        <v>3.7439029507414405E-4</v>
      </c>
      <c r="AR26" s="70">
        <f t="shared" si="97"/>
        <v>0.23859798510120464</v>
      </c>
      <c r="AS26" s="70">
        <f t="shared" si="98"/>
        <v>5.3299999999999993E-2</v>
      </c>
      <c r="AT26" s="70">
        <v>7.4999999999999997E-2</v>
      </c>
      <c r="AU26" s="70">
        <f t="shared" si="99"/>
        <v>19.231362165985743</v>
      </c>
      <c r="AV26" s="70">
        <f t="shared" si="100"/>
        <v>857.52603727865392</v>
      </c>
      <c r="AW26" s="70">
        <f t="shared" si="101"/>
        <v>50188.997283571523</v>
      </c>
      <c r="AX26" s="70">
        <f t="shared" si="102"/>
        <v>49852.44525844013</v>
      </c>
      <c r="AY26" s="70">
        <f t="shared" si="103"/>
        <v>2.1050692247709266E-2</v>
      </c>
      <c r="AZ26" s="22">
        <v>0.388798407688626</v>
      </c>
      <c r="BB26" s="70">
        <f t="shared" si="27"/>
        <v>609.52544564184132</v>
      </c>
      <c r="BD26" s="80">
        <f>AN26/((1+0.16*(1-(AG26*AN26/(AG26*AN26+AI26*AO26))))*AP26-(0.47)*(9.81*AT26*((AI26-AG26)/AI26^2))^0.25)</f>
        <v>0.21965644078908822</v>
      </c>
    </row>
    <row r="27" spans="1:56" x14ac:dyDescent="0.35">
      <c r="A27" s="71" t="s">
        <v>202</v>
      </c>
      <c r="B27" s="72" t="s">
        <v>112</v>
      </c>
      <c r="C27" s="76">
        <v>9</v>
      </c>
      <c r="D27" s="21">
        <f>+F27/E27</f>
        <v>0.88</v>
      </c>
      <c r="E27" s="43">
        <f>+F27+G27</f>
        <v>6.25</v>
      </c>
      <c r="F27" s="75">
        <v>5.5</v>
      </c>
      <c r="G27" s="75">
        <v>0.75</v>
      </c>
      <c r="I27" s="18">
        <v>0.94213121383248599</v>
      </c>
      <c r="J27" s="18">
        <v>26.935808606599</v>
      </c>
      <c r="K27" s="70">
        <f>+F27*3600*(PI()/4*0.0533^2)</f>
        <v>44.1783498106007</v>
      </c>
      <c r="L27" s="70">
        <f>+G27*3600*(PI()/4*0.0533^2)</f>
        <v>6.0243204287182772</v>
      </c>
      <c r="N27">
        <v>8.3297985920050692</v>
      </c>
      <c r="O27">
        <v>26.435062821700502</v>
      </c>
      <c r="P27" s="70">
        <f t="shared" si="81"/>
        <v>9.1810029015631827</v>
      </c>
      <c r="Q27" s="70">
        <f t="shared" si="82"/>
        <v>6.0243204287182772</v>
      </c>
      <c r="R27" s="70">
        <f t="shared" si="83"/>
        <v>0.5</v>
      </c>
      <c r="S27" s="27">
        <v>10.88</v>
      </c>
      <c r="T27" s="27">
        <v>1.8640000000000001E-5</v>
      </c>
      <c r="U27" s="70">
        <f t="shared" si="84"/>
        <v>99.889311569007432</v>
      </c>
      <c r="V27" s="70">
        <f t="shared" si="85"/>
        <v>20.132156630566261</v>
      </c>
      <c r="W27" s="70">
        <f t="shared" si="31"/>
        <v>1</v>
      </c>
      <c r="X27" s="74">
        <v>2.84734807233502</v>
      </c>
      <c r="Y27" s="74">
        <v>26.967034797588799</v>
      </c>
      <c r="Z27" s="27">
        <v>996.7</v>
      </c>
      <c r="AA27" s="27">
        <v>8.52E-4</v>
      </c>
      <c r="AB27" s="70">
        <f t="shared" si="86"/>
        <v>6004.4401713035068</v>
      </c>
      <c r="AC27" s="70">
        <f t="shared" si="87"/>
        <v>3.3025412300824599</v>
      </c>
      <c r="AD27" s="70">
        <v>5.33E-2</v>
      </c>
      <c r="AE27" s="70">
        <f t="shared" si="88"/>
        <v>6104.3294828725138</v>
      </c>
      <c r="AF27" s="41">
        <f t="shared" si="89"/>
        <v>2735858.7244441113</v>
      </c>
      <c r="AG27" s="27">
        <v>2.2549999999999999</v>
      </c>
      <c r="AH27" s="27">
        <v>1.855E-5</v>
      </c>
      <c r="AI27" s="27">
        <v>996.6</v>
      </c>
      <c r="AJ27" s="27">
        <v>8.5260000000000002E-4</v>
      </c>
      <c r="AK27" s="70">
        <f t="shared" si="90"/>
        <v>44.296812225723919</v>
      </c>
      <c r="AL27" s="70">
        <f t="shared" si="91"/>
        <v>6.0249249160179676</v>
      </c>
      <c r="AM27" s="70">
        <f t="shared" si="92"/>
        <v>50.321737141741885</v>
      </c>
      <c r="AN27" s="11">
        <f t="shared" si="93"/>
        <v>5.5147480221866818</v>
      </c>
      <c r="AO27" s="11">
        <f t="shared" si="94"/>
        <v>0.75007525586995782</v>
      </c>
      <c r="AP27" s="70">
        <f t="shared" si="95"/>
        <v>6.2648232780566397</v>
      </c>
      <c r="AQ27" s="70">
        <f t="shared" si="96"/>
        <v>1.6363682833516142E-2</v>
      </c>
      <c r="AR27" s="70">
        <f t="shared" si="97"/>
        <v>0.88027192107761543</v>
      </c>
      <c r="AS27" s="70">
        <f t="shared" si="98"/>
        <v>5.3299999999999993E-2</v>
      </c>
      <c r="AT27" s="70">
        <v>7.4999999999999997E-2</v>
      </c>
      <c r="AU27" s="70">
        <f t="shared" si="99"/>
        <v>19.222046705024415</v>
      </c>
      <c r="AV27" s="70">
        <f t="shared" si="100"/>
        <v>35731.851046288437</v>
      </c>
      <c r="AW27" s="70">
        <f t="shared" si="101"/>
        <v>46731.271991555244</v>
      </c>
      <c r="AX27" s="70">
        <f t="shared" si="102"/>
        <v>45214.413304252754</v>
      </c>
      <c r="AY27" s="70">
        <f t="shared" si="103"/>
        <v>2.1506356192859198E-2</v>
      </c>
      <c r="AZ27" s="22">
        <v>0.87011945151150805</v>
      </c>
      <c r="BB27" s="70">
        <f t="shared" si="27"/>
        <v>131.40107398678953</v>
      </c>
      <c r="BD27" s="80">
        <f t="shared" ref="BD27:BD28" si="105">AN27/((1+0.16*(1-(AG27*AN27/(AG27*AN27+AI27*AO27))))*AP27-(0.47)*(9.81*AT27*((AI27-AG27)/AI27^2))^0.25)</f>
        <v>0.76878135313898077</v>
      </c>
    </row>
    <row r="28" spans="1:56" x14ac:dyDescent="0.35">
      <c r="A28" s="71" t="s">
        <v>203</v>
      </c>
      <c r="B28" s="72" t="s">
        <v>112</v>
      </c>
      <c r="C28" s="76">
        <v>10</v>
      </c>
      <c r="D28" s="21">
        <f t="shared" si="53"/>
        <v>0.16666666666666669</v>
      </c>
      <c r="E28" s="43">
        <f t="shared" si="34"/>
        <v>0.6</v>
      </c>
      <c r="F28" s="75">
        <v>0.1</v>
      </c>
      <c r="G28" s="75">
        <v>0.5</v>
      </c>
      <c r="I28" s="79">
        <v>-2.1667651819170498E-2</v>
      </c>
      <c r="J28" s="18">
        <v>25.943695838709701</v>
      </c>
      <c r="K28" s="70">
        <f t="shared" si="79"/>
        <v>0.80324272382910367</v>
      </c>
      <c r="L28" s="70">
        <f t="shared" si="80"/>
        <v>4.0162136191455184</v>
      </c>
      <c r="N28">
        <v>8.4711624193548403</v>
      </c>
      <c r="O28">
        <v>25.4581009431644</v>
      </c>
      <c r="P28" s="70">
        <f t="shared" si="81"/>
        <v>8.2836912083740652E-2</v>
      </c>
      <c r="Q28" s="70">
        <f t="shared" si="82"/>
        <v>4.0162136191455184</v>
      </c>
      <c r="R28" s="70">
        <f t="shared" si="83"/>
        <v>0.5</v>
      </c>
      <c r="S28" s="27">
        <v>11.08</v>
      </c>
      <c r="T28" s="27">
        <v>1.8600000000000001E-5</v>
      </c>
      <c r="U28" s="70">
        <f t="shared" si="84"/>
        <v>0.91783298588784645</v>
      </c>
      <c r="V28" s="70">
        <f t="shared" si="85"/>
        <v>0.18164526324007252</v>
      </c>
      <c r="W28" s="70">
        <f t="shared" si="31"/>
        <v>1</v>
      </c>
      <c r="X28" s="74">
        <v>1.74386908602151</v>
      </c>
      <c r="Y28" s="74">
        <v>25.8995122933948</v>
      </c>
      <c r="Z28" s="27">
        <v>996.9</v>
      </c>
      <c r="AA28" s="27">
        <v>8.7250000000000001E-4</v>
      </c>
      <c r="AB28" s="70">
        <f t="shared" si="86"/>
        <v>4003.763356926167</v>
      </c>
      <c r="AC28" s="70">
        <f t="shared" si="87"/>
        <v>2.2016941533883068</v>
      </c>
      <c r="AD28" s="70">
        <v>5.33E-2</v>
      </c>
      <c r="AE28" s="70">
        <f t="shared" si="88"/>
        <v>4004.6811899120548</v>
      </c>
      <c r="AF28" s="41">
        <f t="shared" si="89"/>
        <v>1794831.3574454114</v>
      </c>
      <c r="AG28" s="27">
        <v>1.1399999999999999</v>
      </c>
      <c r="AH28" s="27">
        <v>1.8490000000000001E-5</v>
      </c>
      <c r="AI28" s="27">
        <v>996.8</v>
      </c>
      <c r="AJ28" s="27">
        <v>8.7169999999999999E-4</v>
      </c>
      <c r="AK28" s="70">
        <f t="shared" si="90"/>
        <v>0.80511665428758472</v>
      </c>
      <c r="AL28" s="70">
        <f t="shared" si="91"/>
        <v>4.0166165298215963</v>
      </c>
      <c r="AM28" s="70">
        <f t="shared" si="92"/>
        <v>4.8217331841091813</v>
      </c>
      <c r="AN28" s="11">
        <f t="shared" si="93"/>
        <v>0.10023329566554279</v>
      </c>
      <c r="AO28" s="11">
        <f t="shared" si="94"/>
        <v>0.5000501605136437</v>
      </c>
      <c r="AP28" s="70">
        <f t="shared" si="95"/>
        <v>0.60028345617918655</v>
      </c>
      <c r="AQ28" s="70">
        <f t="shared" si="96"/>
        <v>2.2919002596259169E-4</v>
      </c>
      <c r="AR28" s="70">
        <f t="shared" si="97"/>
        <v>0.16697660852346199</v>
      </c>
      <c r="AS28" s="70">
        <f t="shared" si="98"/>
        <v>5.3299999999999993E-2</v>
      </c>
      <c r="AT28" s="70">
        <v>7.4999999999999997E-2</v>
      </c>
      <c r="AU28" s="70">
        <f t="shared" si="99"/>
        <v>19.23475287836888</v>
      </c>
      <c r="AV28" s="70">
        <f t="shared" si="100"/>
        <v>329.38753440939479</v>
      </c>
      <c r="AW28" s="70">
        <f t="shared" si="101"/>
        <v>30477.670069978205</v>
      </c>
      <c r="AX28" s="70">
        <f t="shared" si="102"/>
        <v>30350.029633311431</v>
      </c>
      <c r="AY28" s="70">
        <f t="shared" si="103"/>
        <v>2.3530770991090882E-2</v>
      </c>
      <c r="AZ28" s="22">
        <v>0.40779118394674901</v>
      </c>
      <c r="BB28" s="70">
        <f t="shared" si="27"/>
        <v>590.77862979157987</v>
      </c>
      <c r="BD28" s="80">
        <f t="shared" si="105"/>
        <v>0.1619644449260417</v>
      </c>
    </row>
  </sheetData>
  <mergeCells count="8">
    <mergeCell ref="W1:AC1"/>
    <mergeCell ref="AD1:AT1"/>
    <mergeCell ref="A1:A2"/>
    <mergeCell ref="C1:G1"/>
    <mergeCell ref="I1:L1"/>
    <mergeCell ref="N1:Q1"/>
    <mergeCell ref="R1:V1"/>
    <mergeCell ref="B1:B2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58039-13EB-4ADA-89B7-63C0FED4C391}">
  <sheetPr codeName="Planilha2"/>
  <dimension ref="B1:S28"/>
  <sheetViews>
    <sheetView workbookViewId="0">
      <selection activeCell="I35" sqref="I35"/>
    </sheetView>
  </sheetViews>
  <sheetFormatPr defaultRowHeight="14.5" x14ac:dyDescent="0.35"/>
  <cols>
    <col min="1" max="1" width="1.36328125" customWidth="1"/>
    <col min="2" max="2" width="7.08984375" bestFit="1" customWidth="1"/>
    <col min="3" max="3" width="16.90625" bestFit="1" customWidth="1"/>
    <col min="4" max="4" width="24.08984375" bestFit="1" customWidth="1"/>
    <col min="5" max="10" width="10.90625" customWidth="1"/>
    <col min="11" max="11" width="11.81640625" bestFit="1" customWidth="1"/>
    <col min="19" max="19" width="20.453125" bestFit="1" customWidth="1"/>
  </cols>
  <sheetData>
    <row r="1" spans="2:19" x14ac:dyDescent="0.35">
      <c r="D1" s="90"/>
      <c r="E1" s="90"/>
      <c r="F1" s="90"/>
      <c r="G1" s="90"/>
      <c r="H1" s="90"/>
      <c r="I1" s="90"/>
      <c r="J1" s="90"/>
    </row>
    <row r="2" spans="2:19" x14ac:dyDescent="0.35">
      <c r="B2" s="15" t="s">
        <v>81</v>
      </c>
      <c r="C2" s="15" t="s">
        <v>82</v>
      </c>
      <c r="D2" s="1" t="s">
        <v>69</v>
      </c>
      <c r="E2" s="1" t="s">
        <v>75</v>
      </c>
      <c r="F2" s="1" t="s">
        <v>76</v>
      </c>
      <c r="G2" s="1" t="s">
        <v>77</v>
      </c>
      <c r="H2" s="1" t="s">
        <v>78</v>
      </c>
      <c r="I2" s="1" t="s">
        <v>79</v>
      </c>
      <c r="J2" s="1" t="s">
        <v>80</v>
      </c>
      <c r="K2" s="16" t="s">
        <v>114</v>
      </c>
      <c r="M2" s="30" t="s">
        <v>115</v>
      </c>
      <c r="N2" s="30" t="s">
        <v>116</v>
      </c>
      <c r="O2" s="30" t="s">
        <v>117</v>
      </c>
      <c r="P2" s="30" t="s">
        <v>118</v>
      </c>
      <c r="Q2" s="30" t="s">
        <v>119</v>
      </c>
      <c r="R2" s="30" t="s">
        <v>75</v>
      </c>
      <c r="S2" s="30" t="s">
        <v>107</v>
      </c>
    </row>
    <row r="3" spans="2:19" x14ac:dyDescent="0.35">
      <c r="B3" s="15">
        <v>660</v>
      </c>
      <c r="C3" s="15">
        <f>+-60.439566</f>
        <v>-60.439565999999999</v>
      </c>
      <c r="D3" s="8" t="str">
        <f>'Base de Dados'!A3</f>
        <v>ID10_L010_G088_repetido</v>
      </c>
      <c r="E3" s="8">
        <f>+R3</f>
        <v>4.1263884846896547E-3</v>
      </c>
      <c r="F3" s="8">
        <v>0</v>
      </c>
      <c r="G3" s="8">
        <f>0.208*C$17*C$20</f>
        <v>4.7181693528750297E-2</v>
      </c>
      <c r="H3" s="8">
        <f>+E3*(15/4.5)</f>
        <v>1.3754628282298849E-2</v>
      </c>
      <c r="I3" s="8">
        <v>0</v>
      </c>
      <c r="J3" s="8">
        <f t="shared" ref="J3:J8" si="0">+(E3^2+F3^2+G3^2+H3^2+I3^2)^0.5</f>
        <v>4.9318648454227863E-2</v>
      </c>
      <c r="K3" s="17">
        <f>'Base de Dados'!AZ3</f>
        <v>0.65248523405819703</v>
      </c>
      <c r="M3">
        <v>275191</v>
      </c>
      <c r="N3">
        <v>164175.5</v>
      </c>
      <c r="O3">
        <f>+(M3+N3)/2</f>
        <v>219683.25</v>
      </c>
      <c r="P3">
        <f>+(M3-N3)/O3</f>
        <v>0.50534348886408043</v>
      </c>
      <c r="Q3">
        <v>229978.070308542</v>
      </c>
      <c r="R3">
        <f>1/(P$3*SQRT(Q3))</f>
        <v>4.1263884846896547E-3</v>
      </c>
      <c r="S3" s="25" t="s">
        <v>108</v>
      </c>
    </row>
    <row r="4" spans="2:19" x14ac:dyDescent="0.35">
      <c r="B4" s="15"/>
      <c r="C4" s="15">
        <f>261.844766*LN(LN(B3))</f>
        <v>489.80880724013224</v>
      </c>
      <c r="D4" s="8" t="str">
        <f>'Base de Dados'!A4</f>
        <v>ID11_L025_G058_repetido</v>
      </c>
      <c r="E4" s="8">
        <f t="shared" ref="E4:E8" si="1">+R4</f>
        <v>4.328987875384948E-3</v>
      </c>
      <c r="F4" s="8">
        <f t="shared" ref="F4:F8" si="2">+E4</f>
        <v>4.328987875384948E-3</v>
      </c>
      <c r="G4" s="8">
        <f t="shared" ref="G4" si="3">0.17*C$17*C$20</f>
        <v>3.8561961057151685E-2</v>
      </c>
      <c r="H4" s="8">
        <f t="shared" ref="H4:H8" si="4">+E4*(15/4.5)</f>
        <v>1.4429959584616493E-2</v>
      </c>
      <c r="I4" s="8">
        <v>0</v>
      </c>
      <c r="J4" s="8">
        <f t="shared" si="0"/>
        <v>4.1626059701074379E-2</v>
      </c>
      <c r="K4" s="17">
        <f>'Base de Dados'!AZ4</f>
        <v>0.50576855978424695</v>
      </c>
      <c r="Q4">
        <v>208955.55075951701</v>
      </c>
      <c r="R4">
        <f t="shared" ref="R4:R8" si="5">1/(P$3*SQRT(Q4))</f>
        <v>4.328987875384948E-3</v>
      </c>
      <c r="S4" s="25" t="s">
        <v>109</v>
      </c>
    </row>
    <row r="5" spans="2:19" x14ac:dyDescent="0.35">
      <c r="B5" s="15"/>
      <c r="C5" s="15">
        <f>+-408.63705*(LN(LN(B3)))^2</f>
        <v>-1429.8916356187783</v>
      </c>
      <c r="D5" s="8" t="str">
        <f>'Base de Dados'!A5</f>
        <v>ID12_L166_G646_repetido2</v>
      </c>
      <c r="E5" s="8">
        <f t="shared" si="1"/>
        <v>4.0678024866386969E-3</v>
      </c>
      <c r="F5" s="8">
        <f t="shared" si="2"/>
        <v>4.0678024866386969E-3</v>
      </c>
      <c r="G5" s="8">
        <f>0.14*C$17*C$20</f>
        <v>3.1756909105889623E-2</v>
      </c>
      <c r="H5" s="8">
        <f t="shared" si="4"/>
        <v>1.355934162212899E-2</v>
      </c>
      <c r="I5" s="8">
        <v>0</v>
      </c>
      <c r="J5" s="8">
        <f t="shared" si="0"/>
        <v>3.5006443054471315E-2</v>
      </c>
      <c r="K5" s="17">
        <f>'Base de Dados'!AZ5</f>
        <v>0.70999653043466104</v>
      </c>
      <c r="Q5">
        <v>236650.23295877001</v>
      </c>
      <c r="R5">
        <f t="shared" si="5"/>
        <v>4.0678024866386969E-3</v>
      </c>
      <c r="S5" s="25" t="s">
        <v>110</v>
      </c>
    </row>
    <row r="6" spans="2:19" x14ac:dyDescent="0.35">
      <c r="B6" s="15"/>
      <c r="C6" s="15">
        <f>296.81687*(LN(LN(B3)))^3</f>
        <v>1942.8383120954738</v>
      </c>
      <c r="D6" s="8" t="str">
        <f>'Base de Dados'!A6</f>
        <v>ID13_L01_G1844</v>
      </c>
      <c r="E6" s="8">
        <f t="shared" si="1"/>
        <v>3.8530277067713448E-3</v>
      </c>
      <c r="F6" s="8">
        <f t="shared" si="2"/>
        <v>3.8530277067713448E-3</v>
      </c>
      <c r="G6" s="8">
        <f>0.032*C$17*C$20</f>
        <v>7.2587220813461993E-3</v>
      </c>
      <c r="H6" s="8">
        <f t="shared" si="4"/>
        <v>1.2843425689237816E-2</v>
      </c>
      <c r="I6" s="8">
        <v>0</v>
      </c>
      <c r="J6" s="8">
        <f t="shared" si="0"/>
        <v>1.572686474499899E-2</v>
      </c>
      <c r="K6" s="17">
        <f>'Base de Dados'!AZ6</f>
        <v>0.92075002616399704</v>
      </c>
      <c r="Q6">
        <v>263768.17061145097</v>
      </c>
      <c r="R6">
        <f t="shared" si="5"/>
        <v>3.8530277067713448E-3</v>
      </c>
      <c r="S6" s="25" t="s">
        <v>111</v>
      </c>
    </row>
    <row r="7" spans="2:19" x14ac:dyDescent="0.35">
      <c r="B7" s="15"/>
      <c r="C7" s="15">
        <f>+-102.856866*(LN(LN(B3)))^4</f>
        <v>-1259.4010703895258</v>
      </c>
      <c r="D7" s="8" t="str">
        <f>'Base de Dados'!A7</f>
        <v>ID14_L02_G374</v>
      </c>
      <c r="E7" s="8">
        <f t="shared" si="1"/>
        <v>4.0202008678289092E-3</v>
      </c>
      <c r="F7" s="8">
        <f t="shared" si="2"/>
        <v>4.0202008678289092E-3</v>
      </c>
      <c r="G7" s="8">
        <f>0.14*C$17*C$20</f>
        <v>3.1756909105889623E-2</v>
      </c>
      <c r="H7" s="8">
        <f t="shared" si="4"/>
        <v>1.3400669559429697E-2</v>
      </c>
      <c r="I7" s="8">
        <v>0</v>
      </c>
      <c r="J7" s="8">
        <f t="shared" si="0"/>
        <v>3.4934270432286772E-2</v>
      </c>
      <c r="K7" s="17">
        <f>'Base de Dados'!AZ7</f>
        <v>0.75257334093050199</v>
      </c>
      <c r="Q7">
        <v>242287.576157648</v>
      </c>
      <c r="R7">
        <f t="shared" si="5"/>
        <v>4.0202008678289092E-3</v>
      </c>
      <c r="S7" s="25" t="s">
        <v>112</v>
      </c>
    </row>
    <row r="8" spans="2:19" x14ac:dyDescent="0.35">
      <c r="B8" s="15"/>
      <c r="C8" s="15">
        <f>13.736626*(LN(LN(B3)))^5</f>
        <v>314.62522374211341</v>
      </c>
      <c r="D8" s="8" t="str">
        <f>'Base de Dados'!A8</f>
        <v>ID15_L117_G176_repetido</v>
      </c>
      <c r="E8" s="8">
        <f t="shared" si="1"/>
        <v>4.3284509771047376E-3</v>
      </c>
      <c r="F8" s="6">
        <f t="shared" si="2"/>
        <v>4.3284509771047376E-3</v>
      </c>
      <c r="G8" s="6">
        <f>0.14*C$17*C$20</f>
        <v>3.1756909105889623E-2</v>
      </c>
      <c r="H8" s="6">
        <f t="shared" si="4"/>
        <v>1.442816992368246E-2</v>
      </c>
      <c r="I8" s="6">
        <v>0</v>
      </c>
      <c r="J8" s="6">
        <f t="shared" si="0"/>
        <v>3.5413900364529016E-2</v>
      </c>
      <c r="K8" s="17">
        <f>'Base de Dados'!AZ8</f>
        <v>0.45787787719705703</v>
      </c>
      <c r="Q8">
        <v>209007.391399179</v>
      </c>
      <c r="R8">
        <f t="shared" si="5"/>
        <v>4.3284509771047376E-3</v>
      </c>
      <c r="S8" s="25" t="s">
        <v>112</v>
      </c>
    </row>
    <row r="9" spans="2:19" x14ac:dyDescent="0.35">
      <c r="D9" s="67"/>
      <c r="E9" s="28"/>
      <c r="F9" s="28"/>
      <c r="G9" s="28"/>
      <c r="H9" s="28"/>
      <c r="I9" s="28"/>
      <c r="J9" s="28"/>
      <c r="K9" s="29"/>
    </row>
    <row r="10" spans="2:19" x14ac:dyDescent="0.35">
      <c r="C10" s="15" t="s">
        <v>83</v>
      </c>
      <c r="D10" s="67" t="str">
        <f>'Base de Dados'!A10</f>
        <v>ID22</v>
      </c>
      <c r="E10" s="22">
        <f>+R10</f>
        <v>4.5691061647113503E-3</v>
      </c>
      <c r="F10" s="8">
        <f>+E10</f>
        <v>4.5691061647113503E-3</v>
      </c>
      <c r="G10" s="8">
        <f>0.1*C$17*C$20</f>
        <v>2.2683506504206873E-2</v>
      </c>
      <c r="H10" s="8">
        <f>+E10*(15/4.5)</f>
        <v>1.5230353882371168E-2</v>
      </c>
      <c r="I10" s="8">
        <v>0</v>
      </c>
      <c r="J10" s="8">
        <f t="shared" ref="J10:J28" si="6">+(E10^2+F10^2+G10^2+H10^2+I10^2)^0.5</f>
        <v>2.8075943599413726E-2</v>
      </c>
      <c r="K10" s="62">
        <f>'Base de Dados'!AZ10</f>
        <v>0.25790316591324702</v>
      </c>
      <c r="Q10">
        <v>187570.33452097501</v>
      </c>
      <c r="R10">
        <f>1/(P$3*SQRT(Q10))</f>
        <v>4.5691061647113503E-3</v>
      </c>
      <c r="S10" s="25" t="s">
        <v>180</v>
      </c>
    </row>
    <row r="11" spans="2:19" x14ac:dyDescent="0.35">
      <c r="C11" s="15">
        <f>0.1*EXP(C3+C4+C5+C6+C7+C8)</f>
        <v>8.5441022995099477E-3</v>
      </c>
      <c r="D11" s="67" t="str">
        <f>'Base de Dados'!A11</f>
        <v>ID23</v>
      </c>
      <c r="E11" s="22">
        <f t="shared" ref="E11:E28" si="7">+R11</f>
        <v>4.8040077596288901E-3</v>
      </c>
      <c r="F11" s="8">
        <f t="shared" ref="F11:F28" si="8">+E11</f>
        <v>4.8040077596288901E-3</v>
      </c>
      <c r="G11" s="8">
        <f>0.1*C$17*C$20</f>
        <v>2.2683506504206873E-2</v>
      </c>
      <c r="H11" s="8">
        <f t="shared" ref="H11:H28" si="9">+E11*(15/4.5)</f>
        <v>1.6013359198762969E-2</v>
      </c>
      <c r="I11" s="8">
        <v>0</v>
      </c>
      <c r="J11" s="8">
        <f t="shared" si="6"/>
        <v>2.858541798302329E-2</v>
      </c>
      <c r="K11" s="62">
        <f>'Base de Dados'!AZ11</f>
        <v>6.3782488503546203E-2</v>
      </c>
      <c r="Q11">
        <v>169675.54421292001</v>
      </c>
      <c r="R11">
        <f t="shared" ref="R11:R28" si="10">1/(P$3*SQRT(Q11))</f>
        <v>4.8040077596288901E-3</v>
      </c>
      <c r="S11" s="25" t="s">
        <v>180</v>
      </c>
    </row>
    <row r="12" spans="2:19" x14ac:dyDescent="0.35">
      <c r="D12" s="67" t="str">
        <f>'Base de Dados'!A12</f>
        <v>ID24</v>
      </c>
      <c r="E12" s="22">
        <f t="shared" si="7"/>
        <v>4.2628873687252586E-3</v>
      </c>
      <c r="F12" s="8">
        <f t="shared" si="8"/>
        <v>4.2628873687252586E-3</v>
      </c>
      <c r="G12" s="8">
        <f>0.1*C$17*C$20</f>
        <v>2.2683506504206873E-2</v>
      </c>
      <c r="H12" s="8">
        <f t="shared" si="9"/>
        <v>1.420962456241753E-2</v>
      </c>
      <c r="I12" s="8">
        <v>0</v>
      </c>
      <c r="J12" s="8">
        <f t="shared" si="6"/>
        <v>2.7437188539792663E-2</v>
      </c>
      <c r="K12" s="62">
        <f>'Base de Dados'!AZ12</f>
        <v>0.52650906847091405</v>
      </c>
      <c r="Q12">
        <v>215485.93817807001</v>
      </c>
      <c r="R12">
        <f t="shared" si="10"/>
        <v>4.2628873687252586E-3</v>
      </c>
      <c r="S12" s="25" t="s">
        <v>180</v>
      </c>
    </row>
    <row r="13" spans="2:19" x14ac:dyDescent="0.35">
      <c r="C13" s="15" t="s">
        <v>84</v>
      </c>
      <c r="D13" s="67" t="str">
        <f>'Base de Dados'!A13</f>
        <v>ID25 o ID29</v>
      </c>
      <c r="E13" s="22">
        <f t="shared" si="7"/>
        <v>4.3856405859504684E-3</v>
      </c>
      <c r="F13" s="8">
        <f t="shared" si="8"/>
        <v>4.3856405859504684E-3</v>
      </c>
      <c r="G13" s="8">
        <f>0.14*C$17*C$20</f>
        <v>3.1756909105889623E-2</v>
      </c>
      <c r="H13" s="8">
        <f t="shared" si="9"/>
        <v>1.4618801953168229E-2</v>
      </c>
      <c r="I13" s="8">
        <v>0</v>
      </c>
      <c r="J13" s="8">
        <f t="shared" si="6"/>
        <v>3.5506032349503128E-2</v>
      </c>
      <c r="K13" s="62">
        <f>'Base de Dados'!AZ13</f>
        <v>0.41608035722514702</v>
      </c>
      <c r="Q13">
        <v>203591.93809468599</v>
      </c>
      <c r="R13">
        <f t="shared" si="10"/>
        <v>4.3856405859504684E-3</v>
      </c>
      <c r="S13" s="25" t="s">
        <v>112</v>
      </c>
    </row>
    <row r="14" spans="2:19" x14ac:dyDescent="0.35">
      <c r="C14" s="15">
        <v>996.2</v>
      </c>
      <c r="D14" s="67" t="str">
        <f>'Base de Dados'!A14</f>
        <v>ID26</v>
      </c>
      <c r="E14" s="22">
        <f t="shared" si="7"/>
        <v>4.4530841086302796E-3</v>
      </c>
      <c r="F14" s="8">
        <f t="shared" si="8"/>
        <v>4.4530841086302796E-3</v>
      </c>
      <c r="G14" s="8">
        <f>0.14*C$17*C$20</f>
        <v>3.1756909105889623E-2</v>
      </c>
      <c r="H14" s="8">
        <f t="shared" si="9"/>
        <v>1.4843613695434266E-2</v>
      </c>
      <c r="I14" s="8">
        <v>0</v>
      </c>
      <c r="J14" s="8">
        <f t="shared" si="6"/>
        <v>3.5615924242620604E-2</v>
      </c>
      <c r="K14" s="62">
        <f>'Base de Dados'!AZ14</f>
        <v>0.35742712493888101</v>
      </c>
      <c r="Q14">
        <v>197471.69555032</v>
      </c>
      <c r="R14">
        <f t="shared" si="10"/>
        <v>4.4530841086302796E-3</v>
      </c>
      <c r="S14" s="25" t="s">
        <v>112</v>
      </c>
    </row>
    <row r="15" spans="2:19" x14ac:dyDescent="0.35">
      <c r="D15" s="67" t="str">
        <f>'Base de Dados'!A15</f>
        <v>ID27</v>
      </c>
      <c r="E15" s="22">
        <f t="shared" si="7"/>
        <v>4.2620923133668319E-3</v>
      </c>
      <c r="F15" s="8">
        <f t="shared" si="8"/>
        <v>4.2620923133668319E-3</v>
      </c>
      <c r="G15" s="8">
        <f>0.14*C$17*C$20</f>
        <v>3.1756909105889623E-2</v>
      </c>
      <c r="H15" s="8">
        <f t="shared" si="9"/>
        <v>1.4206974377889441E-2</v>
      </c>
      <c r="I15" s="8">
        <v>0</v>
      </c>
      <c r="J15" s="8">
        <f t="shared" si="6"/>
        <v>3.5308218005289695E-2</v>
      </c>
      <c r="K15" s="62">
        <f>'Base de Dados'!AZ15</f>
        <v>0.52721014560685597</v>
      </c>
      <c r="Q15">
        <v>215566.33964130899</v>
      </c>
      <c r="R15">
        <f t="shared" si="10"/>
        <v>4.2620923133668319E-3</v>
      </c>
      <c r="S15" s="25" t="s">
        <v>112</v>
      </c>
    </row>
    <row r="16" spans="2:19" x14ac:dyDescent="0.35">
      <c r="C16" s="15" t="s">
        <v>85</v>
      </c>
      <c r="D16" s="67" t="str">
        <f>'Base de Dados'!A16</f>
        <v>ID28</v>
      </c>
      <c r="E16" s="22">
        <f t="shared" si="7"/>
        <v>4.5687796113504349E-3</v>
      </c>
      <c r="F16" s="8">
        <f t="shared" si="8"/>
        <v>4.5687796113504349E-3</v>
      </c>
      <c r="G16" s="8">
        <f>0.14*C$17*C$20</f>
        <v>3.1756909105889623E-2</v>
      </c>
      <c r="H16" s="8">
        <f t="shared" si="9"/>
        <v>1.5229265371168118E-2</v>
      </c>
      <c r="I16" s="8">
        <v>0</v>
      </c>
      <c r="J16" s="8">
        <f t="shared" si="6"/>
        <v>3.5807531246643889E-2</v>
      </c>
      <c r="K16" s="62">
        <f>'Base de Dados'!AZ16</f>
        <v>0.25817401873832702</v>
      </c>
      <c r="Q16">
        <v>187597.14864524399</v>
      </c>
      <c r="R16">
        <f t="shared" si="10"/>
        <v>4.5687796113504349E-3</v>
      </c>
      <c r="S16" s="25" t="s">
        <v>112</v>
      </c>
    </row>
    <row r="17" spans="3:19" x14ac:dyDescent="0.35">
      <c r="C17" s="15">
        <f>+C11*C14</f>
        <v>8.5116347107718102</v>
      </c>
      <c r="D17" s="67" t="str">
        <f>'Base de Dados'!A17</f>
        <v>ID30</v>
      </c>
      <c r="E17" s="22">
        <f t="shared" si="7"/>
        <v>4.3756190275026806E-3</v>
      </c>
      <c r="F17" s="8">
        <f t="shared" si="8"/>
        <v>4.3756190275026806E-3</v>
      </c>
      <c r="G17" s="8">
        <f>0.14*C$17*C$20</f>
        <v>3.1756909105889623E-2</v>
      </c>
      <c r="H17" s="8">
        <f t="shared" si="9"/>
        <v>1.458539675834227E-2</v>
      </c>
      <c r="I17" s="8">
        <v>0</v>
      </c>
      <c r="J17" s="8">
        <f t="shared" si="6"/>
        <v>3.5489817670786697E-2</v>
      </c>
      <c r="K17" s="62">
        <f>'Base de Dados'!AZ17</f>
        <v>0.42515645916363798</v>
      </c>
      <c r="Q17">
        <v>204525.58655529999</v>
      </c>
      <c r="R17">
        <f t="shared" si="10"/>
        <v>4.3756190275026806E-3</v>
      </c>
      <c r="S17" s="25" t="s">
        <v>112</v>
      </c>
    </row>
    <row r="18" spans="3:19" x14ac:dyDescent="0.35">
      <c r="D18" s="73"/>
      <c r="E18" s="22"/>
      <c r="F18" s="73"/>
      <c r="G18" s="73"/>
      <c r="H18" s="73"/>
      <c r="I18" s="73"/>
      <c r="J18" s="73"/>
      <c r="K18" s="62"/>
    </row>
    <row r="19" spans="3:19" x14ac:dyDescent="0.35">
      <c r="C19" s="15" t="s">
        <v>86</v>
      </c>
      <c r="D19" s="73" t="str">
        <f>'Base de Dados'!A19</f>
        <v>ID31</v>
      </c>
      <c r="E19" s="22">
        <f t="shared" si="7"/>
        <v>3.7974258151981214E-3</v>
      </c>
      <c r="F19" s="73">
        <f t="shared" si="8"/>
        <v>3.7974258151981214E-3</v>
      </c>
      <c r="G19" s="73">
        <f>0.032*C$17*C$20</f>
        <v>7.2587220813461993E-3</v>
      </c>
      <c r="H19" s="73">
        <f t="shared" si="9"/>
        <v>1.2658086050660405E-2</v>
      </c>
      <c r="I19" s="73">
        <v>0</v>
      </c>
      <c r="J19" s="73">
        <f t="shared" si="6"/>
        <v>1.554853930001184E-2</v>
      </c>
      <c r="K19" s="62">
        <f>'Base de Dados'!AZ19</f>
        <v>0.97420292720074697</v>
      </c>
      <c r="Q19">
        <v>271548.904067236</v>
      </c>
      <c r="R19">
        <f t="shared" si="10"/>
        <v>3.7974258151981214E-3</v>
      </c>
      <c r="S19" s="25" t="s">
        <v>111</v>
      </c>
    </row>
    <row r="20" spans="3:19" x14ac:dyDescent="0.35">
      <c r="C20" s="15">
        <f>0.0533/2</f>
        <v>2.665E-2</v>
      </c>
      <c r="D20" s="73" t="str">
        <f>'Base de Dados'!A20</f>
        <v>ID32</v>
      </c>
      <c r="E20" s="22">
        <f t="shared" si="7"/>
        <v>3.7958964495897777E-3</v>
      </c>
      <c r="F20" s="73">
        <f t="shared" si="8"/>
        <v>3.7958964495897777E-3</v>
      </c>
      <c r="G20" s="73">
        <f t="shared" ref="G20:G25" si="11">0.032*C$17*C$20</f>
        <v>7.2587220813461993E-3</v>
      </c>
      <c r="H20" s="73">
        <f t="shared" si="9"/>
        <v>1.2652988165299259E-2</v>
      </c>
      <c r="I20" s="73">
        <v>0</v>
      </c>
      <c r="J20" s="73">
        <f t="shared" si="6"/>
        <v>1.5543642284787778E-2</v>
      </c>
      <c r="K20" s="62">
        <f>'Base de Dados'!AZ20</f>
        <v>0.97576098261074196</v>
      </c>
      <c r="Q20">
        <v>271767.76210091199</v>
      </c>
      <c r="R20">
        <f t="shared" si="10"/>
        <v>3.7958964495897777E-3</v>
      </c>
      <c r="S20" s="25" t="s">
        <v>111</v>
      </c>
    </row>
    <row r="21" spans="3:19" x14ac:dyDescent="0.35">
      <c r="D21" s="73" t="str">
        <f>'Base de Dados'!A21</f>
        <v>ID33</v>
      </c>
      <c r="E21" s="22">
        <f t="shared" si="7"/>
        <v>3.7903434109789226E-3</v>
      </c>
      <c r="F21" s="73">
        <f t="shared" si="8"/>
        <v>3.7903434109789226E-3</v>
      </c>
      <c r="G21" s="73">
        <f t="shared" si="11"/>
        <v>7.2587220813461993E-3</v>
      </c>
      <c r="H21" s="73">
        <f t="shared" si="9"/>
        <v>1.2634478036596409E-2</v>
      </c>
      <c r="I21" s="73">
        <v>0</v>
      </c>
      <c r="J21" s="73">
        <f t="shared" si="6"/>
        <v>1.5525865124293802E-2</v>
      </c>
      <c r="K21" s="62">
        <f>'Base de Dados'!AZ21</f>
        <v>0.98142972905409498</v>
      </c>
      <c r="Q21">
        <v>272564.65156029502</v>
      </c>
      <c r="R21">
        <f t="shared" si="10"/>
        <v>3.7903434109789226E-3</v>
      </c>
      <c r="S21" s="25" t="s">
        <v>111</v>
      </c>
    </row>
    <row r="22" spans="3:19" x14ac:dyDescent="0.35">
      <c r="D22" s="73" t="str">
        <f>'Base de Dados'!A22</f>
        <v>ID34</v>
      </c>
      <c r="E22" s="22">
        <f t="shared" si="7"/>
        <v>3.7953725043711694E-3</v>
      </c>
      <c r="F22" s="73">
        <f t="shared" si="8"/>
        <v>3.7953725043711694E-3</v>
      </c>
      <c r="G22" s="73">
        <f t="shared" si="11"/>
        <v>7.2587220813461993E-3</v>
      </c>
      <c r="H22" s="73">
        <f t="shared" si="9"/>
        <v>1.2651241681237232E-2</v>
      </c>
      <c r="I22" s="73">
        <v>0</v>
      </c>
      <c r="J22" s="73">
        <f t="shared" si="6"/>
        <v>1.5541964715735605E-2</v>
      </c>
      <c r="K22" s="62">
        <f>'Base de Dados'!AZ22</f>
        <v>0.976299410387788</v>
      </c>
      <c r="Q22">
        <v>271842.80150630203</v>
      </c>
      <c r="R22">
        <f t="shared" si="10"/>
        <v>3.7953725043711694E-3</v>
      </c>
      <c r="S22" s="25" t="s">
        <v>111</v>
      </c>
    </row>
    <row r="23" spans="3:19" x14ac:dyDescent="0.35">
      <c r="D23" s="73" t="str">
        <f>'Base de Dados'!A23</f>
        <v>ID35</v>
      </c>
      <c r="E23" s="22">
        <f t="shared" si="7"/>
        <v>3.7950578447804263E-3</v>
      </c>
      <c r="F23" s="73">
        <f t="shared" si="8"/>
        <v>3.7950578447804263E-3</v>
      </c>
      <c r="G23" s="73">
        <f t="shared" si="11"/>
        <v>7.2587220813461993E-3</v>
      </c>
      <c r="H23" s="73">
        <f t="shared" si="9"/>
        <v>1.2650192815934755E-2</v>
      </c>
      <c r="I23" s="73">
        <v>0</v>
      </c>
      <c r="J23" s="73">
        <f t="shared" si="6"/>
        <v>1.554095726218334E-2</v>
      </c>
      <c r="K23" s="62">
        <f>'Base de Dados'!AZ23</f>
        <v>0.97662090510451205</v>
      </c>
      <c r="Q23">
        <v>271887.88197372598</v>
      </c>
      <c r="R23">
        <f t="shared" si="10"/>
        <v>3.7950578447804263E-3</v>
      </c>
      <c r="S23" s="25" t="s">
        <v>111</v>
      </c>
    </row>
    <row r="24" spans="3:19" x14ac:dyDescent="0.35">
      <c r="D24" s="73" t="str">
        <f>'Base de Dados'!A24</f>
        <v>ID36</v>
      </c>
      <c r="E24" s="22">
        <f t="shared" si="7"/>
        <v>3.7952946371485573E-3</v>
      </c>
      <c r="F24" s="73">
        <f t="shared" si="8"/>
        <v>3.7952946371485573E-3</v>
      </c>
      <c r="G24" s="73">
        <f t="shared" si="11"/>
        <v>7.2587220813461993E-3</v>
      </c>
      <c r="H24" s="73">
        <f t="shared" si="9"/>
        <v>1.2650982123828525E-2</v>
      </c>
      <c r="I24" s="73">
        <v>0</v>
      </c>
      <c r="J24" s="73">
        <f t="shared" si="6"/>
        <v>1.5541715404587392E-2</v>
      </c>
      <c r="K24" s="62">
        <f>'Base de Dados'!AZ24</f>
        <v>0.97637957854809498</v>
      </c>
      <c r="Q24">
        <v>271853.95629827998</v>
      </c>
      <c r="R24">
        <f t="shared" si="10"/>
        <v>3.7952946371485573E-3</v>
      </c>
      <c r="S24" s="25" t="s">
        <v>111</v>
      </c>
    </row>
    <row r="25" spans="3:19" x14ac:dyDescent="0.35">
      <c r="D25" s="73" t="str">
        <f>'Base de Dados'!A25</f>
        <v>ID37</v>
      </c>
      <c r="E25" s="22">
        <f t="shared" si="7"/>
        <v>3.7882015510675936E-3</v>
      </c>
      <c r="F25" s="73">
        <f t="shared" si="8"/>
        <v>3.7882015510675936E-3</v>
      </c>
      <c r="G25" s="73">
        <f t="shared" si="11"/>
        <v>7.2587220813461993E-3</v>
      </c>
      <c r="H25" s="73">
        <f t="shared" si="9"/>
        <v>1.2627338503558646E-2</v>
      </c>
      <c r="I25" s="73">
        <v>0</v>
      </c>
      <c r="J25" s="73">
        <f t="shared" si="6"/>
        <v>1.551900982410603E-2</v>
      </c>
      <c r="K25" s="62">
        <f>'Base de Dados'!AZ25</f>
        <v>0.98362321264932095</v>
      </c>
      <c r="Q25">
        <v>272872.95634942001</v>
      </c>
      <c r="R25">
        <f t="shared" si="10"/>
        <v>3.7882015510675936E-3</v>
      </c>
      <c r="S25" s="25" t="s">
        <v>111</v>
      </c>
    </row>
    <row r="26" spans="3:19" x14ac:dyDescent="0.35">
      <c r="D26" s="73" t="str">
        <f>'Base de Dados'!A26</f>
        <v>IDPE4</v>
      </c>
      <c r="E26" s="22">
        <f t="shared" si="7"/>
        <v>4.4154293947245519E-3</v>
      </c>
      <c r="F26" s="73">
        <f t="shared" si="8"/>
        <v>4.4154293947245519E-3</v>
      </c>
      <c r="G26" s="73">
        <f>0.14*C$17*C$20</f>
        <v>3.1756909105889623E-2</v>
      </c>
      <c r="H26" s="73">
        <f t="shared" si="9"/>
        <v>1.4718097982415173E-2</v>
      </c>
      <c r="I26" s="73">
        <v>0</v>
      </c>
      <c r="J26" s="73">
        <f t="shared" si="6"/>
        <v>3.5554405038747364E-2</v>
      </c>
      <c r="K26" s="62">
        <f>'Base de Dados'!AZ26</f>
        <v>0.388798407688626</v>
      </c>
      <c r="Q26">
        <v>200854.128139245</v>
      </c>
      <c r="R26">
        <f t="shared" si="10"/>
        <v>4.4154293947245519E-3</v>
      </c>
      <c r="S26" s="25" t="s">
        <v>112</v>
      </c>
    </row>
    <row r="27" spans="3:19" x14ac:dyDescent="0.35">
      <c r="D27" s="73" t="str">
        <f>'Base de Dados'!A27</f>
        <v>IDPE5</v>
      </c>
      <c r="E27" s="22">
        <f t="shared" si="7"/>
        <v>3.9008893474085566E-3</v>
      </c>
      <c r="F27" s="73">
        <f t="shared" si="8"/>
        <v>3.9008893474085566E-3</v>
      </c>
      <c r="G27" s="73">
        <f t="shared" ref="G27:G28" si="12">0.14*C$17*C$20</f>
        <v>3.1756909105889623E-2</v>
      </c>
      <c r="H27" s="73">
        <f t="shared" si="9"/>
        <v>1.3002964491361856E-2</v>
      </c>
      <c r="I27" s="73">
        <v>0</v>
      </c>
      <c r="J27" s="73">
        <f t="shared" si="6"/>
        <v>3.4756470432493629E-2</v>
      </c>
      <c r="K27" s="62">
        <f>'Base de Dados'!AZ27</f>
        <v>0.87011945151150805</v>
      </c>
      <c r="Q27">
        <v>257335.314205398</v>
      </c>
      <c r="R27">
        <f t="shared" si="10"/>
        <v>3.9008893474085566E-3</v>
      </c>
      <c r="S27" s="25" t="s">
        <v>112</v>
      </c>
    </row>
    <row r="28" spans="3:19" x14ac:dyDescent="0.35">
      <c r="D28" s="73" t="str">
        <f>'Base de Dados'!A28</f>
        <v>IPDE3_L050_G010</v>
      </c>
      <c r="E28" s="22">
        <f t="shared" si="7"/>
        <v>4.3929678801578253E-3</v>
      </c>
      <c r="F28" s="73">
        <f t="shared" si="8"/>
        <v>4.3929678801578253E-3</v>
      </c>
      <c r="G28" s="73">
        <f t="shared" si="12"/>
        <v>3.1756909105889623E-2</v>
      </c>
      <c r="H28" s="73">
        <f t="shared" si="9"/>
        <v>1.4643226267192751E-2</v>
      </c>
      <c r="I28" s="73">
        <v>0</v>
      </c>
      <c r="J28" s="73">
        <f t="shared" si="6"/>
        <v>3.5517906541125646E-2</v>
      </c>
      <c r="K28" s="62">
        <f>'Base de Dados'!AZ28</f>
        <v>0.40779118394674901</v>
      </c>
      <c r="Q28">
        <v>202913.338133852</v>
      </c>
      <c r="R28">
        <f t="shared" si="10"/>
        <v>4.3929678801578253E-3</v>
      </c>
      <c r="S28" s="25" t="s">
        <v>112</v>
      </c>
    </row>
  </sheetData>
  <mergeCells count="1">
    <mergeCell ref="D1:J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425AB-41DE-46DB-8BA5-E785227CCB01}">
  <sheetPr codeName="Planilha6"/>
  <dimension ref="A1:U24"/>
  <sheetViews>
    <sheetView workbookViewId="0">
      <selection activeCell="L28" sqref="L28"/>
    </sheetView>
  </sheetViews>
  <sheetFormatPr defaultRowHeight="14.5" x14ac:dyDescent="0.35"/>
  <cols>
    <col min="1" max="1" width="2.81640625" style="44" bestFit="1" customWidth="1"/>
    <col min="2" max="2" width="42.453125" bestFit="1" customWidth="1"/>
    <col min="3" max="3" width="6" bestFit="1" customWidth="1"/>
    <col min="12" max="12" width="12.6328125" bestFit="1" customWidth="1"/>
    <col min="13" max="13" width="4.54296875" customWidth="1"/>
  </cols>
  <sheetData>
    <row r="1" spans="1:21" ht="15" thickBot="1" x14ac:dyDescent="0.4"/>
    <row r="2" spans="1:21" x14ac:dyDescent="0.35">
      <c r="A2" s="45" t="s">
        <v>150</v>
      </c>
      <c r="B2" s="18" t="s">
        <v>151</v>
      </c>
      <c r="E2" s="91"/>
      <c r="F2" s="92"/>
      <c r="G2" s="92"/>
      <c r="H2" s="92"/>
      <c r="I2" s="92"/>
      <c r="J2" s="92"/>
      <c r="K2" s="92"/>
      <c r="L2" s="93"/>
      <c r="N2" s="91"/>
      <c r="O2" s="92"/>
      <c r="P2" s="92"/>
      <c r="Q2" s="92"/>
      <c r="R2" s="92"/>
      <c r="S2" s="92"/>
      <c r="T2" s="92"/>
      <c r="U2" s="93"/>
    </row>
    <row r="3" spans="1:21" x14ac:dyDescent="0.35">
      <c r="A3" s="45" t="s">
        <v>152</v>
      </c>
      <c r="B3" s="18" t="s">
        <v>153</v>
      </c>
      <c r="E3" s="94"/>
      <c r="F3" s="95"/>
      <c r="G3" s="95"/>
      <c r="H3" s="95"/>
      <c r="I3" s="95"/>
      <c r="J3" s="95"/>
      <c r="K3" s="95"/>
      <c r="L3" s="96"/>
      <c r="N3" s="94"/>
      <c r="O3" s="95"/>
      <c r="P3" s="95"/>
      <c r="Q3" s="95"/>
      <c r="R3" s="95"/>
      <c r="S3" s="95"/>
      <c r="T3" s="95"/>
      <c r="U3" s="96"/>
    </row>
    <row r="4" spans="1:21" x14ac:dyDescent="0.35">
      <c r="A4" s="46" t="s">
        <v>154</v>
      </c>
      <c r="B4" s="18" t="s">
        <v>155</v>
      </c>
      <c r="C4" s="47"/>
      <c r="E4" s="94"/>
      <c r="F4" s="95"/>
      <c r="G4" s="95"/>
      <c r="H4" s="95"/>
      <c r="I4" s="95"/>
      <c r="J4" s="95"/>
      <c r="K4" s="95"/>
      <c r="L4" s="96"/>
      <c r="N4" s="94"/>
      <c r="O4" s="95"/>
      <c r="P4" s="95"/>
      <c r="Q4" s="95"/>
      <c r="R4" s="95"/>
      <c r="S4" s="95"/>
      <c r="T4" s="95"/>
      <c r="U4" s="96"/>
    </row>
    <row r="5" spans="1:21" ht="15" thickBot="1" x14ac:dyDescent="0.4">
      <c r="A5" s="46" t="s">
        <v>156</v>
      </c>
      <c r="B5" s="18" t="s">
        <v>157</v>
      </c>
      <c r="C5" s="47"/>
      <c r="E5" s="97"/>
      <c r="F5" s="98"/>
      <c r="G5" s="98"/>
      <c r="H5" s="98"/>
      <c r="I5" s="98"/>
      <c r="J5" s="98"/>
      <c r="K5" s="98"/>
      <c r="L5" s="99"/>
      <c r="N5" s="97"/>
      <c r="O5" s="98"/>
      <c r="P5" s="98"/>
      <c r="Q5" s="98"/>
      <c r="R5" s="98"/>
      <c r="S5" s="98"/>
      <c r="T5" s="98"/>
      <c r="U5" s="99"/>
    </row>
    <row r="6" spans="1:21" ht="17" thickBot="1" x14ac:dyDescent="0.5">
      <c r="A6" s="46" t="s">
        <v>158</v>
      </c>
      <c r="B6" s="18" t="s">
        <v>159</v>
      </c>
      <c r="C6" s="47"/>
      <c r="E6" s="48" t="s">
        <v>150</v>
      </c>
      <c r="F6" s="49" t="s">
        <v>152</v>
      </c>
      <c r="G6" s="49" t="s">
        <v>154</v>
      </c>
      <c r="H6" s="49" t="s">
        <v>156</v>
      </c>
      <c r="I6" s="49" t="s">
        <v>158</v>
      </c>
      <c r="J6" s="49" t="s">
        <v>160</v>
      </c>
      <c r="K6" s="49" t="s">
        <v>161</v>
      </c>
      <c r="L6" s="50" t="s">
        <v>162</v>
      </c>
      <c r="N6" s="48" t="s">
        <v>163</v>
      </c>
      <c r="O6" s="49" t="s">
        <v>164</v>
      </c>
      <c r="P6" s="49" t="s">
        <v>4</v>
      </c>
      <c r="Q6" s="49" t="s">
        <v>165</v>
      </c>
      <c r="R6" s="49" t="s">
        <v>64</v>
      </c>
      <c r="S6" s="49" t="s">
        <v>166</v>
      </c>
      <c r="T6" s="49" t="s">
        <v>167</v>
      </c>
      <c r="U6" s="50" t="s">
        <v>168</v>
      </c>
    </row>
    <row r="7" spans="1:21" x14ac:dyDescent="0.35">
      <c r="A7" s="46" t="s">
        <v>160</v>
      </c>
      <c r="B7" s="18" t="s">
        <v>169</v>
      </c>
      <c r="C7" s="47"/>
      <c r="E7" s="51">
        <f>'Base de Dados'!J3</f>
        <v>28.163796083333299</v>
      </c>
      <c r="F7" s="52">
        <f>'Base de Dados'!AI3</f>
        <v>996.2</v>
      </c>
      <c r="G7" s="52">
        <f>+E7+1</f>
        <v>29.163796083333299</v>
      </c>
      <c r="H7" s="52">
        <f>+E7-1</f>
        <v>27.163796083333299</v>
      </c>
      <c r="I7" s="60">
        <v>995.9</v>
      </c>
      <c r="J7" s="60">
        <v>996.5</v>
      </c>
      <c r="K7" s="52">
        <f>+(1/F7)*((I7-J7)/(G7-H7))*C$8</f>
        <v>-1.5057217426220205E-4</v>
      </c>
      <c r="L7" s="53">
        <f>+((C$20)^2+(K7)^2)^0.5</f>
        <v>1.0001133534738053E-2</v>
      </c>
      <c r="N7" s="51"/>
      <c r="O7" s="52"/>
      <c r="P7" s="52">
        <f>+N7+1</f>
        <v>1</v>
      </c>
      <c r="Q7" s="52">
        <f>+N7-1</f>
        <v>-1</v>
      </c>
      <c r="R7" s="52"/>
      <c r="S7" s="52"/>
      <c r="T7" s="52" t="e">
        <f t="shared" ref="T7:T12" si="0">+(1/O7)*((R7-S7)/(P7-Q7))*C$16</f>
        <v>#DIV/0!</v>
      </c>
      <c r="U7" s="53" t="e">
        <f>+((C$20)^2+(T7)^2)^0.5</f>
        <v>#DIV/0!</v>
      </c>
    </row>
    <row r="8" spans="1:21" x14ac:dyDescent="0.35">
      <c r="A8" s="45" t="s">
        <v>170</v>
      </c>
      <c r="B8" s="18" t="s">
        <v>171</v>
      </c>
      <c r="C8" s="34">
        <v>0.5</v>
      </c>
      <c r="E8" s="54">
        <f>'Base de Dados'!J4</f>
        <v>28.228675641572298</v>
      </c>
      <c r="F8" s="8">
        <f>'Base de Dados'!AI4</f>
        <v>996.2</v>
      </c>
      <c r="G8" s="8">
        <f t="shared" ref="G8:G12" si="1">+E8+1</f>
        <v>29.228675641572298</v>
      </c>
      <c r="H8" s="8">
        <f t="shared" ref="H8:H12" si="2">+E8-1</f>
        <v>27.228675641572298</v>
      </c>
      <c r="I8" s="22">
        <v>995.9</v>
      </c>
      <c r="J8" s="22">
        <v>996.5</v>
      </c>
      <c r="K8" s="8">
        <f t="shared" ref="K8:K12" si="3">+(1/F8)*((I8-J8)/(G8-H8))*C$8</f>
        <v>-1.5057217426220205E-4</v>
      </c>
      <c r="L8" s="55">
        <f t="shared" ref="L8:L12" si="4">+((C$20)^2+(K8)^2)^0.5</f>
        <v>1.0001133534738053E-2</v>
      </c>
      <c r="N8" s="54"/>
      <c r="O8" s="8"/>
      <c r="P8" s="8">
        <f t="shared" ref="P8:P12" si="5">+N8+1</f>
        <v>1</v>
      </c>
      <c r="Q8" s="8">
        <f t="shared" ref="Q8:Q12" si="6">+N8-1</f>
        <v>-1</v>
      </c>
      <c r="R8" s="8"/>
      <c r="S8" s="8"/>
      <c r="T8" s="8" t="e">
        <f t="shared" si="0"/>
        <v>#DIV/0!</v>
      </c>
      <c r="U8" s="55" t="e">
        <f t="shared" ref="U8:U12" si="7">+((C$20)^2+(T8)^2)^0.5</f>
        <v>#DIV/0!</v>
      </c>
    </row>
    <row r="9" spans="1:21" x14ac:dyDescent="0.35">
      <c r="A9" s="56"/>
      <c r="C9" s="34"/>
      <c r="E9" s="54">
        <f>'Base de Dados'!J5</f>
        <v>28.211057128975298</v>
      </c>
      <c r="F9" s="8">
        <f>'Base de Dados'!AI5</f>
        <v>996.4</v>
      </c>
      <c r="G9" s="8">
        <f t="shared" si="1"/>
        <v>29.211057128975298</v>
      </c>
      <c r="H9" s="8">
        <f t="shared" si="2"/>
        <v>27.211057128975298</v>
      </c>
      <c r="I9" s="22">
        <v>996.1</v>
      </c>
      <c r="J9" s="22">
        <v>996.7</v>
      </c>
      <c r="K9" s="8">
        <f t="shared" si="3"/>
        <v>-1.5054195102369097E-4</v>
      </c>
      <c r="L9" s="55">
        <f t="shared" si="4"/>
        <v>1.0001133079757415E-2</v>
      </c>
      <c r="N9" s="54"/>
      <c r="O9" s="8"/>
      <c r="P9" s="8">
        <f t="shared" si="5"/>
        <v>1</v>
      </c>
      <c r="Q9" s="8">
        <f t="shared" si="6"/>
        <v>-1</v>
      </c>
      <c r="R9" s="8"/>
      <c r="S9" s="8"/>
      <c r="T9" s="8" t="e">
        <f t="shared" si="0"/>
        <v>#DIV/0!</v>
      </c>
      <c r="U9" s="55" t="e">
        <f t="shared" si="7"/>
        <v>#DIV/0!</v>
      </c>
    </row>
    <row r="10" spans="1:21" x14ac:dyDescent="0.35">
      <c r="A10" s="45" t="s">
        <v>163</v>
      </c>
      <c r="B10" s="18" t="s">
        <v>151</v>
      </c>
      <c r="E10" s="54">
        <f>'Base de Dados'!J6</f>
        <v>25.915370800000002</v>
      </c>
      <c r="F10" s="8">
        <f>'Base de Dados'!AI6</f>
        <v>996.9</v>
      </c>
      <c r="G10" s="8">
        <f t="shared" si="1"/>
        <v>26.915370800000002</v>
      </c>
      <c r="H10" s="8">
        <f t="shared" si="2"/>
        <v>24.915370800000002</v>
      </c>
      <c r="I10" s="22">
        <v>996.6</v>
      </c>
      <c r="J10" s="22">
        <v>997.1</v>
      </c>
      <c r="K10" s="8">
        <f t="shared" si="3"/>
        <v>-1.253887049854549E-4</v>
      </c>
      <c r="L10" s="55">
        <f t="shared" si="4"/>
        <v>1.0000786085470378E-2</v>
      </c>
      <c r="N10" s="54"/>
      <c r="O10" s="8"/>
      <c r="P10" s="8">
        <f t="shared" si="5"/>
        <v>1</v>
      </c>
      <c r="Q10" s="8">
        <f t="shared" si="6"/>
        <v>-1</v>
      </c>
      <c r="R10" s="8"/>
      <c r="S10" s="8"/>
      <c r="T10" s="8" t="e">
        <f t="shared" si="0"/>
        <v>#DIV/0!</v>
      </c>
      <c r="U10" s="55" t="e">
        <f t="shared" si="7"/>
        <v>#DIV/0!</v>
      </c>
    </row>
    <row r="11" spans="1:21" x14ac:dyDescent="0.35">
      <c r="A11" s="45" t="s">
        <v>164</v>
      </c>
      <c r="B11" s="18" t="s">
        <v>172</v>
      </c>
      <c r="E11" s="54">
        <f>'Base de Dados'!J7</f>
        <v>28.0794782368245</v>
      </c>
      <c r="F11" s="8">
        <f>'Base de Dados'!AI7</f>
        <v>996.2</v>
      </c>
      <c r="G11" s="8">
        <f t="shared" si="1"/>
        <v>29.0794782368245</v>
      </c>
      <c r="H11" s="8">
        <f t="shared" si="2"/>
        <v>27.0794782368245</v>
      </c>
      <c r="I11" s="22">
        <v>995.9</v>
      </c>
      <c r="J11" s="22">
        <v>996.5</v>
      </c>
      <c r="K11" s="8">
        <f t="shared" si="3"/>
        <v>-1.5057217426220205E-4</v>
      </c>
      <c r="L11" s="55">
        <f t="shared" si="4"/>
        <v>1.0001133534738053E-2</v>
      </c>
      <c r="N11" s="54"/>
      <c r="O11" s="8"/>
      <c r="P11" s="8">
        <f t="shared" si="5"/>
        <v>1</v>
      </c>
      <c r="Q11" s="8">
        <f t="shared" si="6"/>
        <v>-1</v>
      </c>
      <c r="R11" s="8"/>
      <c r="S11" s="8"/>
      <c r="T11" s="8" t="e">
        <f t="shared" si="0"/>
        <v>#DIV/0!</v>
      </c>
      <c r="U11" s="55" t="e">
        <f t="shared" si="7"/>
        <v>#DIV/0!</v>
      </c>
    </row>
    <row r="12" spans="1:21" x14ac:dyDescent="0.35">
      <c r="A12" s="46" t="s">
        <v>4</v>
      </c>
      <c r="B12" s="18" t="s">
        <v>155</v>
      </c>
      <c r="C12" s="47"/>
      <c r="E12" s="54">
        <f>'Base de Dados'!J8</f>
        <v>28.8404838407432</v>
      </c>
      <c r="F12" s="8">
        <f>'Base de Dados'!AI8</f>
        <v>996</v>
      </c>
      <c r="G12" s="8">
        <f t="shared" si="1"/>
        <v>29.8404838407432</v>
      </c>
      <c r="H12" s="8">
        <f t="shared" si="2"/>
        <v>27.8404838407432</v>
      </c>
      <c r="I12" s="22">
        <v>995.7</v>
      </c>
      <c r="J12" s="22">
        <v>996.3</v>
      </c>
      <c r="K12" s="8">
        <f t="shared" si="3"/>
        <v>-1.5060240963853138E-4</v>
      </c>
      <c r="L12" s="55">
        <f t="shared" si="4"/>
        <v>1.0001133989992781E-2</v>
      </c>
      <c r="N12" s="54"/>
      <c r="O12" s="8"/>
      <c r="P12" s="8">
        <f t="shared" si="5"/>
        <v>1</v>
      </c>
      <c r="Q12" s="8">
        <f t="shared" si="6"/>
        <v>-1</v>
      </c>
      <c r="R12" s="8"/>
      <c r="S12" s="8"/>
      <c r="T12" s="8" t="e">
        <f t="shared" si="0"/>
        <v>#DIV/0!</v>
      </c>
      <c r="U12" s="55" t="e">
        <f t="shared" si="7"/>
        <v>#DIV/0!</v>
      </c>
    </row>
    <row r="13" spans="1:21" x14ac:dyDescent="0.35">
      <c r="A13" s="46" t="s">
        <v>165</v>
      </c>
      <c r="B13" s="18" t="s">
        <v>157</v>
      </c>
      <c r="C13" s="47"/>
      <c r="E13" s="54"/>
      <c r="F13" s="8"/>
      <c r="G13" s="8"/>
      <c r="H13" s="8"/>
      <c r="I13" s="8"/>
      <c r="J13" s="8"/>
      <c r="K13" s="8"/>
      <c r="L13" s="55"/>
      <c r="N13" s="54"/>
      <c r="O13" s="8"/>
      <c r="P13" s="8"/>
      <c r="Q13" s="8"/>
      <c r="R13" s="8"/>
      <c r="S13" s="8"/>
      <c r="T13" s="8"/>
      <c r="U13" s="55"/>
    </row>
    <row r="14" spans="1:21" x14ac:dyDescent="0.35">
      <c r="A14" s="46" t="s">
        <v>64</v>
      </c>
      <c r="B14" s="18" t="s">
        <v>173</v>
      </c>
      <c r="C14" s="47"/>
      <c r="E14" s="54">
        <f>'Base de Dados'!J10</f>
        <v>28.521526194000099</v>
      </c>
      <c r="F14" s="8">
        <f>'Base de Dados'!AI10</f>
        <v>996.2</v>
      </c>
      <c r="G14" s="8">
        <f t="shared" ref="G14" si="8">+E14+1</f>
        <v>29.521526194000099</v>
      </c>
      <c r="H14" s="8">
        <f t="shared" ref="H14" si="9">+E14-1</f>
        <v>27.521526194000099</v>
      </c>
      <c r="I14" s="8">
        <v>995.9</v>
      </c>
      <c r="J14" s="8">
        <v>996.5</v>
      </c>
      <c r="K14" s="8">
        <f t="shared" ref="K14:K21" si="10">+(1/F14)*((I14-J14)/(G14-H14))*C$8</f>
        <v>-1.5057217426220205E-4</v>
      </c>
      <c r="L14" s="55">
        <f t="shared" ref="L14:L21" si="11">+((C$20)^2+(K14)^2)^0.5</f>
        <v>1.0001133534738053E-2</v>
      </c>
      <c r="N14" s="54"/>
      <c r="O14" s="8"/>
      <c r="P14" s="8"/>
      <c r="Q14" s="8"/>
      <c r="R14" s="8"/>
      <c r="S14" s="8"/>
      <c r="T14" s="8"/>
      <c r="U14" s="55"/>
    </row>
    <row r="15" spans="1:21" x14ac:dyDescent="0.35">
      <c r="A15" s="46" t="s">
        <v>166</v>
      </c>
      <c r="B15" s="18" t="s">
        <v>174</v>
      </c>
      <c r="C15" s="47"/>
      <c r="E15" s="54">
        <f>'Base de Dados'!J11</f>
        <v>28.464077015968002</v>
      </c>
      <c r="F15" s="8">
        <f>'Base de Dados'!AI11</f>
        <v>996.2</v>
      </c>
      <c r="G15" s="8">
        <f t="shared" ref="G15:G21" si="12">+E15+1</f>
        <v>29.464077015968002</v>
      </c>
      <c r="H15" s="8">
        <f t="shared" ref="H15:H21" si="13">+E15-1</f>
        <v>27.464077015968002</v>
      </c>
      <c r="I15" s="8">
        <v>995.9</v>
      </c>
      <c r="J15" s="8">
        <v>996.5</v>
      </c>
      <c r="K15" s="8">
        <f t="shared" si="10"/>
        <v>-1.5057217426220205E-4</v>
      </c>
      <c r="L15" s="55">
        <f t="shared" si="11"/>
        <v>1.0001133534738053E-2</v>
      </c>
      <c r="N15" s="54"/>
      <c r="O15" s="8"/>
      <c r="P15" s="8"/>
      <c r="Q15" s="8"/>
      <c r="R15" s="8"/>
      <c r="S15" s="8"/>
      <c r="T15" s="8"/>
      <c r="U15" s="55"/>
    </row>
    <row r="16" spans="1:21" x14ac:dyDescent="0.35">
      <c r="A16" s="45" t="s">
        <v>175</v>
      </c>
      <c r="B16" s="18" t="s">
        <v>171</v>
      </c>
      <c r="C16" s="34">
        <v>0.5</v>
      </c>
      <c r="E16" s="54">
        <f>'Base de Dados'!J12</f>
        <v>28.687848260061902</v>
      </c>
      <c r="F16" s="8">
        <f>'Base de Dados'!AI12</f>
        <v>996.2</v>
      </c>
      <c r="G16" s="8">
        <f t="shared" si="12"/>
        <v>29.687848260061902</v>
      </c>
      <c r="H16" s="8">
        <f t="shared" si="13"/>
        <v>27.687848260061902</v>
      </c>
      <c r="I16" s="8">
        <v>995.9</v>
      </c>
      <c r="J16" s="8">
        <v>996.5</v>
      </c>
      <c r="K16" s="8">
        <f t="shared" si="10"/>
        <v>-1.5057217426220205E-4</v>
      </c>
      <c r="L16" s="55">
        <f t="shared" si="11"/>
        <v>1.0001133534738053E-2</v>
      </c>
      <c r="N16" s="54"/>
      <c r="O16" s="8"/>
      <c r="P16" s="8"/>
      <c r="Q16" s="8"/>
      <c r="R16" s="8"/>
      <c r="S16" s="8"/>
      <c r="T16" s="8"/>
      <c r="U16" s="55"/>
    </row>
    <row r="17" spans="2:21" x14ac:dyDescent="0.35">
      <c r="E17" s="54">
        <f>'Base de Dados'!J13</f>
        <v>28.933287091451199</v>
      </c>
      <c r="F17" s="8">
        <f>'Base de Dados'!AI13</f>
        <v>996.9</v>
      </c>
      <c r="G17" s="8">
        <f t="shared" si="12"/>
        <v>29.933287091451199</v>
      </c>
      <c r="H17" s="8">
        <f t="shared" si="13"/>
        <v>27.933287091451199</v>
      </c>
      <c r="I17" s="8">
        <v>995.7</v>
      </c>
      <c r="J17" s="8">
        <v>996.3</v>
      </c>
      <c r="K17" s="8">
        <f t="shared" si="10"/>
        <v>-1.5046644598252308E-4</v>
      </c>
      <c r="L17" s="55">
        <f t="shared" si="11"/>
        <v>1.0001131943503527E-2</v>
      </c>
      <c r="N17" s="54"/>
      <c r="O17" s="8"/>
      <c r="P17" s="8"/>
      <c r="Q17" s="8"/>
      <c r="R17" s="8"/>
      <c r="S17" s="8"/>
      <c r="T17" s="8"/>
      <c r="U17" s="55"/>
    </row>
    <row r="18" spans="2:21" x14ac:dyDescent="0.35">
      <c r="E18" s="54">
        <f>'Base de Dados'!J14</f>
        <v>28.7741247495082</v>
      </c>
      <c r="F18" s="8">
        <f>'Base de Dados'!AI14</f>
        <v>996.2</v>
      </c>
      <c r="G18" s="8">
        <f t="shared" si="12"/>
        <v>29.7741247495082</v>
      </c>
      <c r="H18" s="8">
        <f t="shared" si="13"/>
        <v>27.7741247495082</v>
      </c>
      <c r="I18" s="8">
        <v>995.8</v>
      </c>
      <c r="J18" s="8">
        <v>996.4</v>
      </c>
      <c r="K18" s="8">
        <f t="shared" si="10"/>
        <v>-1.5057217426220205E-4</v>
      </c>
      <c r="L18" s="55">
        <f t="shared" si="11"/>
        <v>1.0001133534738053E-2</v>
      </c>
      <c r="N18" s="54"/>
      <c r="O18" s="8"/>
      <c r="P18" s="8"/>
      <c r="Q18" s="8"/>
      <c r="R18" s="8"/>
      <c r="S18" s="8"/>
      <c r="T18" s="8"/>
      <c r="U18" s="55"/>
    </row>
    <row r="19" spans="2:21" x14ac:dyDescent="0.35">
      <c r="E19" s="54">
        <f>'Base de Dados'!J15</f>
        <v>29.429466557038001</v>
      </c>
      <c r="F19" s="8">
        <f>'Base de Dados'!AI15</f>
        <v>996</v>
      </c>
      <c r="G19" s="8">
        <f t="shared" si="12"/>
        <v>30.429466557038001</v>
      </c>
      <c r="H19" s="8">
        <f t="shared" si="13"/>
        <v>28.429466557038001</v>
      </c>
      <c r="I19" s="8">
        <v>995.6</v>
      </c>
      <c r="J19" s="8">
        <v>996.2</v>
      </c>
      <c r="K19" s="8">
        <f t="shared" si="10"/>
        <v>-1.5060240963855992E-4</v>
      </c>
      <c r="L19" s="55">
        <f t="shared" si="11"/>
        <v>1.0001133989992783E-2</v>
      </c>
      <c r="N19" s="54"/>
      <c r="O19" s="8"/>
      <c r="P19" s="8"/>
      <c r="Q19" s="8"/>
      <c r="R19" s="8"/>
      <c r="S19" s="8"/>
      <c r="T19" s="8"/>
      <c r="U19" s="55"/>
    </row>
    <row r="20" spans="2:21" x14ac:dyDescent="0.35">
      <c r="B20" t="s">
        <v>176</v>
      </c>
      <c r="C20" s="34">
        <f>1/100</f>
        <v>0.01</v>
      </c>
      <c r="E20" s="54">
        <f>'Base de Dados'!J16</f>
        <v>27.573332835051598</v>
      </c>
      <c r="F20" s="8">
        <f>'Base de Dados'!AI16</f>
        <v>996</v>
      </c>
      <c r="G20" s="8">
        <f t="shared" si="12"/>
        <v>28.573332835051598</v>
      </c>
      <c r="H20" s="8">
        <f t="shared" si="13"/>
        <v>26.573332835051598</v>
      </c>
      <c r="I20" s="8">
        <v>996.2</v>
      </c>
      <c r="J20" s="8">
        <v>996.7</v>
      </c>
      <c r="K20" s="8">
        <f t="shared" si="10"/>
        <v>-1.255020080321285E-4</v>
      </c>
      <c r="L20" s="55">
        <f t="shared" si="11"/>
        <v>1.0000787506692666E-2</v>
      </c>
      <c r="N20" s="54"/>
      <c r="O20" s="8"/>
      <c r="P20" s="8"/>
      <c r="Q20" s="8"/>
      <c r="R20" s="8"/>
      <c r="S20" s="8"/>
      <c r="T20" s="8"/>
      <c r="U20" s="55"/>
    </row>
    <row r="21" spans="2:21" x14ac:dyDescent="0.35">
      <c r="B21" t="s">
        <v>139</v>
      </c>
      <c r="C21" s="34">
        <v>1</v>
      </c>
      <c r="D21" t="s">
        <v>140</v>
      </c>
      <c r="E21" s="54">
        <f>'Base de Dados'!J17</f>
        <v>28.871963517333299</v>
      </c>
      <c r="F21" s="8">
        <f>'Base de Dados'!AI17</f>
        <v>996</v>
      </c>
      <c r="G21" s="8">
        <f t="shared" si="12"/>
        <v>29.871963517333299</v>
      </c>
      <c r="H21" s="8">
        <f t="shared" si="13"/>
        <v>27.871963517333299</v>
      </c>
      <c r="I21" s="8">
        <v>995.8</v>
      </c>
      <c r="J21" s="8">
        <v>996.4</v>
      </c>
      <c r="K21" s="8">
        <f t="shared" si="10"/>
        <v>-1.5060240963855992E-4</v>
      </c>
      <c r="L21" s="55">
        <f t="shared" si="11"/>
        <v>1.0001133989992783E-2</v>
      </c>
      <c r="N21" s="54"/>
      <c r="O21" s="8"/>
      <c r="P21" s="8"/>
      <c r="Q21" s="8"/>
      <c r="R21" s="8"/>
      <c r="S21" s="8"/>
      <c r="T21" s="8"/>
      <c r="U21" s="55"/>
    </row>
    <row r="22" spans="2:21" x14ac:dyDescent="0.35">
      <c r="B22" t="s">
        <v>141</v>
      </c>
      <c r="C22" s="34">
        <v>0.05</v>
      </c>
      <c r="D22" t="s">
        <v>140</v>
      </c>
      <c r="E22" s="54"/>
      <c r="F22" s="8"/>
      <c r="G22" s="8"/>
      <c r="H22" s="8"/>
      <c r="I22" s="8"/>
      <c r="J22" s="8"/>
      <c r="K22" s="8"/>
      <c r="L22" s="55"/>
      <c r="N22" s="54"/>
      <c r="O22" s="8"/>
      <c r="P22" s="8"/>
      <c r="Q22" s="8"/>
      <c r="R22" s="8"/>
      <c r="S22" s="8"/>
      <c r="T22" s="8"/>
      <c r="U22" s="55"/>
    </row>
    <row r="23" spans="2:21" x14ac:dyDescent="0.35">
      <c r="C23" s="34"/>
      <c r="E23" s="54"/>
      <c r="F23" s="8"/>
      <c r="G23" s="8"/>
      <c r="H23" s="8"/>
      <c r="I23" s="8"/>
      <c r="J23" s="8"/>
      <c r="K23" s="8"/>
      <c r="L23" s="55"/>
      <c r="N23" s="54"/>
      <c r="O23" s="8"/>
      <c r="P23" s="8"/>
      <c r="Q23" s="8"/>
      <c r="R23" s="8"/>
      <c r="S23" s="8"/>
      <c r="T23" s="8"/>
      <c r="U23" s="55"/>
    </row>
    <row r="24" spans="2:21" ht="15" thickBot="1" x14ac:dyDescent="0.4">
      <c r="E24" s="57"/>
      <c r="F24" s="58"/>
      <c r="G24" s="58"/>
      <c r="H24" s="58"/>
      <c r="I24" s="58"/>
      <c r="J24" s="58"/>
      <c r="K24" s="58"/>
      <c r="L24" s="59"/>
      <c r="N24" s="57"/>
      <c r="O24" s="58"/>
      <c r="P24" s="58"/>
      <c r="Q24" s="58"/>
      <c r="R24" s="58"/>
      <c r="S24" s="58"/>
      <c r="T24" s="58"/>
      <c r="U24" s="59"/>
    </row>
  </sheetData>
  <mergeCells count="2">
    <mergeCell ref="E2:L5"/>
    <mergeCell ref="N2:U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2BCFF-38AC-4F8B-B662-4DE7CFC00D00}">
  <sheetPr codeName="Planilha5"/>
  <dimension ref="A2:L29"/>
  <sheetViews>
    <sheetView workbookViewId="0">
      <selection activeCell="F4" sqref="F4"/>
    </sheetView>
  </sheetViews>
  <sheetFormatPr defaultRowHeight="14.5" x14ac:dyDescent="0.35"/>
  <cols>
    <col min="1" max="1" width="24.08984375" bestFit="1" customWidth="1"/>
  </cols>
  <sheetData>
    <row r="2" spans="1:12" ht="14.4" customHeight="1" x14ac:dyDescent="0.35">
      <c r="A2" s="84" t="s">
        <v>69</v>
      </c>
      <c r="B2" s="84" t="s">
        <v>130</v>
      </c>
      <c r="C2" s="84" t="s">
        <v>131</v>
      </c>
      <c r="D2" s="84" t="s">
        <v>132</v>
      </c>
      <c r="E2" s="84" t="s">
        <v>133</v>
      </c>
      <c r="F2" s="101" t="s">
        <v>188</v>
      </c>
      <c r="G2" s="101" t="s">
        <v>189</v>
      </c>
      <c r="H2" s="84" t="s">
        <v>134</v>
      </c>
      <c r="I2" s="84" t="s">
        <v>135</v>
      </c>
      <c r="J2" s="84" t="s">
        <v>136</v>
      </c>
      <c r="K2" s="84" t="s">
        <v>137</v>
      </c>
      <c r="L2" s="84" t="s">
        <v>138</v>
      </c>
    </row>
    <row r="3" spans="1:12" x14ac:dyDescent="0.35">
      <c r="A3" s="84"/>
      <c r="B3" s="84"/>
      <c r="C3" s="84"/>
      <c r="D3" s="84"/>
      <c r="E3" s="84"/>
      <c r="F3" s="101"/>
      <c r="G3" s="101"/>
      <c r="H3" s="84"/>
      <c r="I3" s="84"/>
      <c r="J3" s="84"/>
      <c r="K3" s="84"/>
      <c r="L3" s="84"/>
    </row>
    <row r="4" spans="1:12" x14ac:dyDescent="0.35">
      <c r="A4" s="8" t="str">
        <f>'Base de Dados'!A3</f>
        <v>ID10_L010_G088_repetido</v>
      </c>
      <c r="B4" s="8">
        <f>+D$29/(2*1000)/'[1]Base de Dados (TSR)'!AC3</f>
        <v>4.6904315196998124E-4</v>
      </c>
      <c r="C4" s="8">
        <f>+D$28/(2*1000)/'[1]Gradiente de Pressão'!C3</f>
        <v>2.8571428571428574E-4</v>
      </c>
      <c r="D4" s="8">
        <f>0.15+0.02*'Base de Dados'!J3</f>
        <v>0.71327592166666598</v>
      </c>
      <c r="E4" s="8">
        <f>+(0.25/100)*('Base de Dados'!I3*10^5/1000)</f>
        <v>7.3738521000000001E-2</v>
      </c>
      <c r="F4" s="64">
        <f>+(0.5/100)*'[1]Base de Dados (TSR)'!AK3</f>
        <v>1.333382921556312E-2</v>
      </c>
      <c r="G4" s="64">
        <f>+(1/100)*'[1]Base de Dados (TSR)'!O3</f>
        <v>2.2934455757800572E-2</v>
      </c>
      <c r="H4" s="8">
        <f t="shared" ref="H4:H9" si="0">+(F4^2+(2*B4)^2)^0.5</f>
        <v>1.3366787477305245E-2</v>
      </c>
      <c r="I4" s="8">
        <f t="shared" ref="I4:I9" si="1">+(G4^2+(2*B4)^2)^0.5</f>
        <v>2.2953632976506173E-2</v>
      </c>
      <c r="J4" s="8">
        <f>+(D4^2+E4^2)^0.5</f>
        <v>0.71707733886150604</v>
      </c>
      <c r="K4" s="8">
        <f>+('[1]Propag. Incertezas (dP_dz)'!C4^2+C4^2)^0.5</f>
        <v>7.5000000054421774</v>
      </c>
      <c r="L4" s="8">
        <f>+('[1]Propag. Incertezas (dP_dz)'!C4^2+C4^2)^0.5</f>
        <v>7.5000000054421774</v>
      </c>
    </row>
    <row r="5" spans="1:12" x14ac:dyDescent="0.35">
      <c r="A5" s="8" t="str">
        <f>'Base de Dados'!A4</f>
        <v>ID11_L025_G058_repetido</v>
      </c>
      <c r="B5" s="8">
        <f>+D$29/(2*1000)/'[1]Base de Dados (TSR)'!AC4</f>
        <v>4.6904315196998124E-4</v>
      </c>
      <c r="C5" s="8">
        <f>+D$28/(2*1000)/'[1]Gradiente de Pressão'!C4</f>
        <v>2.8571428571428574E-4</v>
      </c>
      <c r="D5" s="8">
        <f>0.15+0.02*'Base de Dados'!J4</f>
        <v>0.71457351283144599</v>
      </c>
      <c r="E5" s="8">
        <f>+(0.25/100)*('Base de Dados'!I4*10^5/1000)</f>
        <v>0.10169136792138575</v>
      </c>
      <c r="F5" s="64">
        <f>+(0.5/100)*'[1]Base de Dados (TSR)'!AK4</f>
        <v>1.1727343767904914E-2</v>
      </c>
      <c r="G5" s="64">
        <f>+(1/100)*'[1]Base de Dados (TSR)'!O4</f>
        <v>3.0243202704830784E-2</v>
      </c>
      <c r="H5" s="8">
        <f t="shared" si="0"/>
        <v>1.1764803345753722E-2</v>
      </c>
      <c r="I5" s="8">
        <f t="shared" si="1"/>
        <v>3.0257748028548387E-2</v>
      </c>
      <c r="J5" s="8">
        <f t="shared" ref="J5:J18" si="2">+(D5^2+E5^2)^0.5</f>
        <v>0.72177312193652321</v>
      </c>
      <c r="K5" s="8">
        <f>+('[1]Propag. Incertezas (dP_dz)'!C5^2+C5^2)^0.5</f>
        <v>7.5000000054421774</v>
      </c>
      <c r="L5" s="8">
        <f>+('[1]Propag. Incertezas (dP_dz)'!C5^2+C5^2)^0.5</f>
        <v>7.5000000054421774</v>
      </c>
    </row>
    <row r="6" spans="1:12" x14ac:dyDescent="0.35">
      <c r="A6" s="8" t="str">
        <f>'Base de Dados'!A5</f>
        <v>ID12_L166_G646_repetido2</v>
      </c>
      <c r="B6" s="8">
        <f>+D$29/(2*1000)/'[1]Base de Dados (TSR)'!AC5</f>
        <v>4.6904315196998124E-4</v>
      </c>
      <c r="C6" s="8">
        <f>+D$28/(2*1000)/'[1]Gradiente de Pressão'!C5</f>
        <v>2.8571428571428574E-4</v>
      </c>
      <c r="D6" s="8">
        <f>0.15+0.02*'Base de Dados'!J5</f>
        <v>0.71422114257950597</v>
      </c>
      <c r="E6" s="8">
        <f>+(0.25/100)*('Base de Dados'!I5*10^5/1000)</f>
        <v>1.245090084805655</v>
      </c>
      <c r="F6" s="64">
        <f>+(0.5/100)*'[1]Base de Dados (TSR)'!AK5</f>
        <v>1.0120858320246706E-2</v>
      </c>
      <c r="G6" s="64">
        <f>+(1/100)*'[1]Base de Dados (TSR)'!O5</f>
        <v>3.8554047299792747E-2</v>
      </c>
      <c r="H6" s="8">
        <f t="shared" si="0"/>
        <v>1.0164240210273796E-2</v>
      </c>
      <c r="I6" s="8">
        <f t="shared" si="1"/>
        <v>3.8565458238017818E-2</v>
      </c>
      <c r="J6" s="8">
        <f t="shared" si="2"/>
        <v>1.4353958199008829</v>
      </c>
      <c r="K6" s="8">
        <f>+('[1]Propag. Incertezas (dP_dz)'!C6^2+C6^2)^0.5</f>
        <v>7.5000000054421774</v>
      </c>
      <c r="L6" s="8">
        <f>+('[1]Propag. Incertezas (dP_dz)'!C6^2+C6^2)^0.5</f>
        <v>7.5000000054421774</v>
      </c>
    </row>
    <row r="7" spans="1:12" x14ac:dyDescent="0.35">
      <c r="A7" s="8" t="str">
        <f>'Base de Dados'!A6</f>
        <v>ID13_L01_G1844</v>
      </c>
      <c r="B7" s="8">
        <f>+D$29/(2*1000)/'[1]Base de Dados (TSR)'!AC6</f>
        <v>4.6904315196998124E-4</v>
      </c>
      <c r="C7" s="8">
        <f>+D$28/(2*1000)/'[1]Gradiente de Pressão'!C6</f>
        <v>2.8571428571428574E-4</v>
      </c>
      <c r="D7" s="8">
        <f>0.15+0.02*'Base de Dados'!J6</f>
        <v>0.6683074160000001</v>
      </c>
      <c r="E7" s="8">
        <f>+(0.25/100)*('Base de Dados'!I6*10^5/1000)</f>
        <v>0.21483420441860498</v>
      </c>
      <c r="F7" s="64">
        <f>+(0.5/100)*'[1]Base de Dados (TSR)'!AK6</f>
        <v>8.3537243278226769E-3</v>
      </c>
      <c r="G7" s="64">
        <f>+(1/100)*'[1]Base de Dados (TSR)'!O6</f>
        <v>4.766744345190848E-2</v>
      </c>
      <c r="H7" s="8">
        <f t="shared" si="0"/>
        <v>8.4062307878677821E-3</v>
      </c>
      <c r="I7" s="8">
        <f t="shared" si="1"/>
        <v>4.7676673239169409E-2</v>
      </c>
      <c r="J7" s="8">
        <f t="shared" si="2"/>
        <v>0.70198898685718147</v>
      </c>
      <c r="K7" s="8">
        <f>+('[1]Propag. Incertezas (dP_dz)'!C7^2+C7^2)^0.5</f>
        <v>7.5000000054421774</v>
      </c>
      <c r="L7" s="8">
        <f>+('[1]Propag. Incertezas (dP_dz)'!C7^2+C7^2)^0.5</f>
        <v>7.5000000054421774</v>
      </c>
    </row>
    <row r="8" spans="1:12" x14ac:dyDescent="0.35">
      <c r="A8" s="8" t="str">
        <f>'Base de Dados'!A7</f>
        <v>ID14_L02_G374</v>
      </c>
      <c r="B8" s="8">
        <f>+D$29/(2*1000)/'[1]Base de Dados (TSR)'!AC7</f>
        <v>4.6904315196998124E-4</v>
      </c>
      <c r="C8" s="8">
        <f>+D$28/(2*1000)/'[1]Gradiente de Pressão'!C7</f>
        <v>2.8571428571428574E-4</v>
      </c>
      <c r="D8" s="8">
        <f>0.15+0.02*'Base de Dados'!J7</f>
        <v>0.71158956473649004</v>
      </c>
      <c r="E8" s="8">
        <f>+(0.25/100)*('Base de Dados'!I7*10^5/1000)</f>
        <v>7.8825734322881993E-2</v>
      </c>
      <c r="F8" s="64">
        <f>+(0.5/100)*'[1]Base de Dados (TSR)'!AK7</f>
        <v>5.6226990668037258E-3</v>
      </c>
      <c r="G8" s="64">
        <f>+(1/100)*'[1]Base de Dados (TSR)'!O7</f>
        <v>5.5060414222428015E-2</v>
      </c>
      <c r="H8" s="8">
        <f t="shared" si="0"/>
        <v>5.7004167136688556E-3</v>
      </c>
      <c r="I8" s="8">
        <f t="shared" si="1"/>
        <v>5.5068404918419356E-2</v>
      </c>
      <c r="J8" s="8">
        <f t="shared" si="2"/>
        <v>0.7159421799512925</v>
      </c>
      <c r="K8" s="8">
        <f>+('[1]Propag. Incertezas (dP_dz)'!C8^2+C8^2)^0.5</f>
        <v>7.5000000054421774</v>
      </c>
      <c r="L8" s="8">
        <f>+('[1]Propag. Incertezas (dP_dz)'!C8^2+C8^2)^0.5</f>
        <v>7.5000000054421774</v>
      </c>
    </row>
    <row r="9" spans="1:12" x14ac:dyDescent="0.35">
      <c r="A9" s="8" t="str">
        <f>'Base de Dados'!A8</f>
        <v>ID15_L117_G176_repetido</v>
      </c>
      <c r="B9" s="8">
        <f>+D$29/(2*1000)/'[1]Base de Dados (TSR)'!AC8</f>
        <v>4.6904315196998124E-4</v>
      </c>
      <c r="C9" s="8">
        <f>+D$28/(2*1000)/'[1]Gradiente de Pressão'!C8</f>
        <v>2.8571428571428574E-4</v>
      </c>
      <c r="D9" s="8">
        <f>0.15+0.02*'Base de Dados'!J8</f>
        <v>0.72680967681486408</v>
      </c>
      <c r="E9" s="8">
        <f>+(0.25/100)*('Base de Dados'!I8*10^5/1000)</f>
        <v>0.2604896230922375</v>
      </c>
      <c r="F9" s="64">
        <f>+(0.5/100)*'[1]Base de Dados (TSR)'!AK8</f>
        <v>4.0162136191455181E-3</v>
      </c>
      <c r="G9" s="64">
        <f>+(1/100)*'[1]Base de Dados (TSR)'!O8</f>
        <v>5.6567319872715974E-2</v>
      </c>
      <c r="H9" s="8">
        <f t="shared" si="0"/>
        <v>4.1243154278315913E-3</v>
      </c>
      <c r="I9" s="8">
        <f t="shared" si="1"/>
        <v>5.6575097732976184E-2</v>
      </c>
      <c r="J9" s="8">
        <f t="shared" si="2"/>
        <v>0.77207975627551784</v>
      </c>
      <c r="K9" s="8">
        <f>+('[1]Propag. Incertezas (dP_dz)'!C9^2+C9^2)^0.5</f>
        <v>7.5000000054421774</v>
      </c>
      <c r="L9" s="8">
        <f>+('[1]Propag. Incertezas (dP_dz)'!C9^2+C9^2)^0.5</f>
        <v>7.5000000054421774</v>
      </c>
    </row>
    <row r="10" spans="1:12" x14ac:dyDescent="0.35">
      <c r="A10" s="8"/>
      <c r="D10" s="8"/>
      <c r="E10" s="8"/>
      <c r="F10" s="64"/>
      <c r="G10" s="64"/>
      <c r="H10" s="8"/>
      <c r="I10" s="8"/>
      <c r="J10" s="8"/>
      <c r="K10" s="8"/>
      <c r="L10" s="8"/>
    </row>
    <row r="11" spans="1:12" x14ac:dyDescent="0.35">
      <c r="A11" s="8" t="str">
        <f>'Base de Dados'!A10</f>
        <v>ID22</v>
      </c>
      <c r="D11" s="8">
        <f>0.15+0.02*'Base de Dados'!J10</f>
        <v>0.72043052388000206</v>
      </c>
      <c r="E11" s="8">
        <f>+(0.25/100)*('Base de Dados'!I10*10^5/1000)</f>
        <v>0.29203125766666749</v>
      </c>
      <c r="F11" s="64">
        <f>+(0.5/100)*'[1]Base de Dados (TSR)'!AK10</f>
        <v>2.3454687535809829E-2</v>
      </c>
      <c r="G11" s="64">
        <f>+(1/100)*'[1]Base de Dados (TSR)'!O10</f>
        <v>5.7101814264638728E-2</v>
      </c>
      <c r="H11" s="8">
        <f t="shared" ref="H11:H18" si="3">+(F11^2+(2*B11)^2)^0.5</f>
        <v>2.3454687535809829E-2</v>
      </c>
      <c r="I11" s="8">
        <f t="shared" ref="I11:I18" si="4">+(G11^2+(2*B11)^2)^0.5</f>
        <v>5.7101814264638728E-2</v>
      </c>
      <c r="J11" s="8">
        <f t="shared" si="2"/>
        <v>0.77736889260658593</v>
      </c>
      <c r="K11" s="8">
        <f>+('[1]Propag. Incertezas (dP_dz)'!C11^2+C11^2)^0.5</f>
        <v>7.5</v>
      </c>
      <c r="L11" s="8">
        <f>+('[1]Propag. Incertezas (dP_dz)'!C11^2+C11^2)^0.5</f>
        <v>7.5</v>
      </c>
    </row>
    <row r="12" spans="1:12" x14ac:dyDescent="0.35">
      <c r="A12" s="8" t="str">
        <f>'Base de Dados'!A11</f>
        <v>ID23</v>
      </c>
      <c r="D12" s="8">
        <f>0.15+0.02*'Base de Dados'!J11</f>
        <v>0.71928154031936009</v>
      </c>
      <c r="E12" s="8">
        <f>+(0.25/100)*('Base de Dados'!I11*10^5/1000)</f>
        <v>8.3923523952095749E-2</v>
      </c>
      <c r="F12" s="64">
        <f>+(0.5/100)*'[1]Base de Dados (TSR)'!AK11</f>
        <v>2.0241716640493412E-2</v>
      </c>
      <c r="G12" s="64">
        <f>+(1/100)*'[1]Base de Dados (TSR)'!O11</f>
        <v>5.4458624206061977E-2</v>
      </c>
      <c r="H12" s="8">
        <f t="shared" si="3"/>
        <v>2.0241716640493412E-2</v>
      </c>
      <c r="I12" s="8">
        <f t="shared" si="4"/>
        <v>5.4458624206061977E-2</v>
      </c>
      <c r="J12" s="8">
        <f t="shared" si="2"/>
        <v>0.72416095732698071</v>
      </c>
      <c r="K12" s="8">
        <f>+('[1]Propag. Incertezas (dP_dz)'!C12^2+C12^2)^0.5</f>
        <v>7.5</v>
      </c>
      <c r="L12" s="8">
        <f>+('[1]Propag. Incertezas (dP_dz)'!C12^2+C12^2)^0.5</f>
        <v>7.5</v>
      </c>
    </row>
    <row r="13" spans="1:12" x14ac:dyDescent="0.35">
      <c r="A13" s="8" t="str">
        <f>'Base de Dados'!A12</f>
        <v>ID24</v>
      </c>
      <c r="D13" s="8">
        <f>0.15+0.02*'Base de Dados'!J12</f>
        <v>0.72375696520123811</v>
      </c>
      <c r="E13" s="8">
        <f>+(0.25/100)*('Base de Dados'!I12*10^5/1000)</f>
        <v>0.58502985758514015</v>
      </c>
      <c r="F13" s="64">
        <f>+(0.5/100)*'[1]Base de Dados (TSR)'!AK12</f>
        <v>1.6707448655645354E-2</v>
      </c>
      <c r="G13" s="64">
        <f>+(1/100)*'[1]Base de Dados (TSR)'!O12</f>
        <v>5.6094782588606354E-2</v>
      </c>
      <c r="H13" s="8">
        <f t="shared" si="3"/>
        <v>1.6707448655645354E-2</v>
      </c>
      <c r="I13" s="8">
        <f t="shared" si="4"/>
        <v>5.6094782588606354E-2</v>
      </c>
      <c r="J13" s="8">
        <f t="shared" si="2"/>
        <v>0.93063638384892067</v>
      </c>
      <c r="K13" s="8">
        <f>+('[1]Propag. Incertezas (dP_dz)'!C13^2+C13^2)^0.5</f>
        <v>7.5</v>
      </c>
      <c r="L13" s="8">
        <f>+('[1]Propag. Incertezas (dP_dz)'!C13^2+C13^2)^0.5</f>
        <v>7.5</v>
      </c>
    </row>
    <row r="14" spans="1:12" x14ac:dyDescent="0.35">
      <c r="A14" s="8" t="str">
        <f>'Base de Dados'!A13</f>
        <v>ID25 o ID29</v>
      </c>
      <c r="D14" s="8">
        <f>0.15+0.02*'Base de Dados'!J13</f>
        <v>0.72866574182902399</v>
      </c>
      <c r="E14" s="8">
        <f>+(0.25/100)*('Base de Dados'!I13*10^5/1000)</f>
        <v>0.15878426938369775</v>
      </c>
      <c r="F14" s="64">
        <f>+(0.5/100)*'[1]Base de Dados (TSR)'!AK13</f>
        <v>1.1245398133607452E-2</v>
      </c>
      <c r="G14" s="64">
        <f>+(1/100)*'[1]Base de Dados (TSR)'!O13</f>
        <v>5.7279059305155408E-2</v>
      </c>
      <c r="H14" s="8">
        <f t="shared" si="3"/>
        <v>1.1245398133607452E-2</v>
      </c>
      <c r="I14" s="8">
        <f t="shared" si="4"/>
        <v>5.7279059305155408E-2</v>
      </c>
      <c r="J14" s="8">
        <f t="shared" si="2"/>
        <v>0.74576551778622513</v>
      </c>
      <c r="K14" s="8">
        <f>+('[1]Propag. Incertezas (dP_dz)'!C14^2+C14^2)^0.5</f>
        <v>7.5</v>
      </c>
      <c r="L14" s="8">
        <f>+('[1]Propag. Incertezas (dP_dz)'!C14^2+C14^2)^0.5</f>
        <v>7.5</v>
      </c>
    </row>
    <row r="15" spans="1:12" x14ac:dyDescent="0.35">
      <c r="A15" s="8" t="str">
        <f>'Base de Dados'!A14</f>
        <v>ID26</v>
      </c>
      <c r="D15" s="8">
        <f>0.15+0.02*'Base de Dados'!J14</f>
        <v>0.72548249499016404</v>
      </c>
      <c r="E15" s="8">
        <f>+(0.25/100)*('Base de Dados'!I14*10^5/1000)</f>
        <v>0.17539753885245926</v>
      </c>
      <c r="F15" s="64">
        <f>+(0.5/100)*'[1]Base de Dados (TSR)'!AK14</f>
        <v>8.0324272382910362E-3</v>
      </c>
      <c r="G15" s="64">
        <f>+(1/100)*'[1]Base de Dados (TSR)'!O14</f>
        <v>5.7595104223994761E-2</v>
      </c>
      <c r="H15" s="8">
        <f t="shared" si="3"/>
        <v>8.0324272382910362E-3</v>
      </c>
      <c r="I15" s="8">
        <f t="shared" si="4"/>
        <v>5.7595104223994761E-2</v>
      </c>
      <c r="J15" s="8">
        <f t="shared" si="2"/>
        <v>0.74638404804273073</v>
      </c>
      <c r="K15" s="8">
        <f>+('[1]Propag. Incertezas (dP_dz)'!C15^2+C15^2)^0.5</f>
        <v>7.5</v>
      </c>
      <c r="L15" s="8">
        <f>+('[1]Propag. Incertezas (dP_dz)'!C15^2+C15^2)^0.5</f>
        <v>7.5</v>
      </c>
    </row>
    <row r="16" spans="1:12" x14ac:dyDescent="0.35">
      <c r="A16" s="8" t="str">
        <f>'Base de Dados'!A15</f>
        <v>ID27</v>
      </c>
      <c r="D16" s="8">
        <f>0.15+0.02*'Base de Dados'!J15</f>
        <v>0.73858933114076009</v>
      </c>
      <c r="E16" s="8">
        <f>+(0.25/100)*('Base de Dados'!I15*10^5/1000)</f>
        <v>0.16500389492995349</v>
      </c>
      <c r="F16" s="64">
        <f>+(0.5/100)*'[1]Base de Dados (TSR)'!AK15</f>
        <v>5.3335316862252478E-2</v>
      </c>
      <c r="G16" s="64">
        <f>+(1/100)*'[1]Base de Dados (TSR)'!O15</f>
        <v>5.6410670765618127E-2</v>
      </c>
      <c r="H16" s="8">
        <f t="shared" si="3"/>
        <v>5.3335316862252478E-2</v>
      </c>
      <c r="I16" s="8">
        <f t="shared" si="4"/>
        <v>5.6410670765618127E-2</v>
      </c>
      <c r="J16" s="8">
        <f t="shared" si="2"/>
        <v>0.75679619807251308</v>
      </c>
      <c r="K16" s="8">
        <f>+('[1]Propag. Incertezas (dP_dz)'!C16^2+C16^2)^0.5</f>
        <v>7.5</v>
      </c>
      <c r="L16" s="8">
        <f>+('[1]Propag. Incertezas (dP_dz)'!C16^2+C16^2)^0.5</f>
        <v>7.5</v>
      </c>
    </row>
    <row r="17" spans="1:12" x14ac:dyDescent="0.35">
      <c r="A17" s="8" t="str">
        <f>'Base de Dados'!A16</f>
        <v>ID28</v>
      </c>
      <c r="D17" s="8">
        <f>0.15+0.02*'Base de Dados'!J16</f>
        <v>0.70146665670103203</v>
      </c>
      <c r="E17" s="8">
        <f>+(0.25/100)*('Base de Dados'!I16*10^5/1000)</f>
        <v>0.18440962902706201</v>
      </c>
      <c r="F17" s="64">
        <f>+(0.5/100)*'[1]Base de Dados (TSR)'!AK16</f>
        <v>4.6909375071619658E-2</v>
      </c>
      <c r="G17" s="64">
        <f>+(1/100)*'[1]Base de Dados (TSR)'!O16</f>
        <v>5.6358934473987772E-2</v>
      </c>
      <c r="H17" s="8">
        <f t="shared" si="3"/>
        <v>4.6909375071619658E-2</v>
      </c>
      <c r="I17" s="8">
        <f t="shared" si="4"/>
        <v>5.6358934473987772E-2</v>
      </c>
      <c r="J17" s="8">
        <f t="shared" si="2"/>
        <v>0.72530157985573296</v>
      </c>
      <c r="K17" s="8">
        <f>+('[1]Propag. Incertezas (dP_dz)'!C17^2+C17^2)^0.5</f>
        <v>7.5</v>
      </c>
      <c r="L17" s="8">
        <f>+('[1]Propag. Incertezas (dP_dz)'!C17^2+C17^2)^0.5</f>
        <v>7.5</v>
      </c>
    </row>
    <row r="18" spans="1:12" x14ac:dyDescent="0.35">
      <c r="A18" s="8" t="str">
        <f>'Base de Dados'!A17</f>
        <v>ID30</v>
      </c>
      <c r="D18" s="8">
        <f>0.15+0.02*'Base de Dados'!J17</f>
        <v>0.727439270346666</v>
      </c>
      <c r="E18" s="8">
        <f>+(0.25/100)*('Base de Dados'!I17*10^5/1000)</f>
        <v>0.15883248050000026</v>
      </c>
      <c r="F18" s="64">
        <f>+(0.5/100)*'[1]Base de Dados (TSR)'!AK17</f>
        <v>4.0483433280986823E-2</v>
      </c>
      <c r="G18" s="64">
        <f>+(1/100)*'[1]Base de Dados (TSR)'!O17</f>
        <v>5.7416627366921338E-2</v>
      </c>
      <c r="H18" s="8">
        <f t="shared" si="3"/>
        <v>4.0483433280986823E-2</v>
      </c>
      <c r="I18" s="8">
        <f t="shared" si="4"/>
        <v>5.7416627366921338E-2</v>
      </c>
      <c r="J18" s="8">
        <f t="shared" si="2"/>
        <v>0.74457749690967212</v>
      </c>
      <c r="K18" s="8">
        <f>+('[1]Propag. Incertezas (dP_dz)'!C18^2+C18^2)^0.5</f>
        <v>7.5</v>
      </c>
      <c r="L18" s="8">
        <f>+('[1]Propag. Incertezas (dP_dz)'!C18^2+C18^2)^0.5</f>
        <v>7.5</v>
      </c>
    </row>
    <row r="28" spans="1:12" x14ac:dyDescent="0.35">
      <c r="A28" s="100" t="s">
        <v>139</v>
      </c>
      <c r="B28" s="100"/>
      <c r="C28" s="100"/>
      <c r="D28" s="34">
        <v>1</v>
      </c>
      <c r="E28" t="s">
        <v>140</v>
      </c>
    </row>
    <row r="29" spans="1:12" x14ac:dyDescent="0.35">
      <c r="A29" s="100" t="s">
        <v>141</v>
      </c>
      <c r="B29" s="100"/>
      <c r="C29" s="100"/>
      <c r="D29" s="34">
        <v>0.05</v>
      </c>
      <c r="E29" t="s">
        <v>140</v>
      </c>
    </row>
  </sheetData>
  <mergeCells count="14">
    <mergeCell ref="J2:J3"/>
    <mergeCell ref="K2:K3"/>
    <mergeCell ref="L2:L3"/>
    <mergeCell ref="A2:A3"/>
    <mergeCell ref="B2:B3"/>
    <mergeCell ref="C2:C3"/>
    <mergeCell ref="D2:D3"/>
    <mergeCell ref="E2:E3"/>
    <mergeCell ref="F2:F3"/>
    <mergeCell ref="A28:C28"/>
    <mergeCell ref="A29:C29"/>
    <mergeCell ref="G2:G3"/>
    <mergeCell ref="H2:H3"/>
    <mergeCell ref="I2:I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E6BFD-796F-4125-8D68-C7D321B7BE5A}">
  <sheetPr codeName="Planilha4"/>
  <dimension ref="A2:R38"/>
  <sheetViews>
    <sheetView zoomScaleNormal="100" workbookViewId="0">
      <selection activeCell="C25" sqref="C25"/>
    </sheetView>
  </sheetViews>
  <sheetFormatPr defaultRowHeight="14.5" x14ac:dyDescent="0.35"/>
  <cols>
    <col min="1" max="1" width="24.08984375" bestFit="1" customWidth="1"/>
    <col min="2" max="15" width="16.08984375" customWidth="1"/>
    <col min="16" max="16" width="14.08984375" bestFit="1" customWidth="1"/>
    <col min="17" max="17" width="14.6328125" bestFit="1" customWidth="1"/>
    <col min="18" max="18" width="12" bestFit="1" customWidth="1"/>
  </cols>
  <sheetData>
    <row r="2" spans="1:18" x14ac:dyDescent="0.35">
      <c r="A2" s="84" t="s">
        <v>69</v>
      </c>
      <c r="B2" s="104" t="s">
        <v>190</v>
      </c>
      <c r="C2" s="105"/>
      <c r="D2" s="106"/>
      <c r="E2" s="107" t="s">
        <v>120</v>
      </c>
      <c r="F2" s="108"/>
      <c r="G2" s="109"/>
      <c r="H2" s="110" t="s">
        <v>121</v>
      </c>
      <c r="I2" s="111"/>
      <c r="J2" s="112"/>
      <c r="K2" s="113" t="s">
        <v>122</v>
      </c>
      <c r="L2" s="114"/>
      <c r="M2" s="115"/>
      <c r="N2" s="116" t="s">
        <v>123</v>
      </c>
      <c r="O2" s="116"/>
      <c r="P2" s="116"/>
      <c r="Q2" s="35" t="s">
        <v>124</v>
      </c>
      <c r="R2" s="102" t="s">
        <v>129</v>
      </c>
    </row>
    <row r="3" spans="1:18" x14ac:dyDescent="0.35">
      <c r="A3" s="84"/>
      <c r="B3" s="31" t="s">
        <v>125</v>
      </c>
      <c r="C3" s="31" t="s">
        <v>126</v>
      </c>
      <c r="D3" s="31" t="s">
        <v>127</v>
      </c>
      <c r="E3" s="36" t="s">
        <v>125</v>
      </c>
      <c r="F3" s="36" t="s">
        <v>126</v>
      </c>
      <c r="G3" s="36" t="s">
        <v>127</v>
      </c>
      <c r="H3" s="33" t="s">
        <v>125</v>
      </c>
      <c r="I3" s="33" t="s">
        <v>126</v>
      </c>
      <c r="J3" s="33" t="s">
        <v>127</v>
      </c>
      <c r="K3" s="37" t="s">
        <v>125</v>
      </c>
      <c r="L3" s="37" t="s">
        <v>126</v>
      </c>
      <c r="M3" s="37" t="s">
        <v>127</v>
      </c>
      <c r="N3" s="38" t="s">
        <v>125</v>
      </c>
      <c r="O3" s="38" t="s">
        <v>126</v>
      </c>
      <c r="P3" s="38" t="s">
        <v>127</v>
      </c>
      <c r="Q3" s="39" t="s">
        <v>128</v>
      </c>
      <c r="R3" s="103"/>
    </row>
    <row r="4" spans="1:18" x14ac:dyDescent="0.35">
      <c r="A4" s="8" t="str">
        <f>'Base de Dados'!A3</f>
        <v>ID10_L010_G088_repetido</v>
      </c>
      <c r="B4" s="8">
        <f>('Gradiente de Pressão'!F3/'Gradiente de Pressão'!H3)</f>
        <v>1</v>
      </c>
      <c r="C4" s="69">
        <f>(0.25/100)*3000</f>
        <v>7.5</v>
      </c>
      <c r="D4" s="8">
        <f>+(B4*C4)^2</f>
        <v>56.25</v>
      </c>
      <c r="E4" s="8">
        <v>0</v>
      </c>
      <c r="F4" s="8">
        <f>+(1/(2*1000)/'[1]Gradiente de Pressão'!C3)</f>
        <v>2.8571428571428574E-4</v>
      </c>
      <c r="G4" s="8">
        <f>+(E4*F4)^2</f>
        <v>0</v>
      </c>
      <c r="H4" s="8">
        <f>'Gradiente de Pressão'!G3/'Gradiente de Pressão'!H3</f>
        <v>0</v>
      </c>
      <c r="I4" s="8">
        <f>'Propag. Incertezas (alpha)'!J3</f>
        <v>4.9318648454227863E-2</v>
      </c>
      <c r="J4" s="8">
        <f>+(H4*I4)^2</f>
        <v>0</v>
      </c>
      <c r="K4" s="8">
        <f>('Base de Dados'!AI3*9.81*SIN('Gradiente de Pressão'!E3*PI()/180)*'Base de Dados'!AZ3)/'Gradiente de Pressão'!H3</f>
        <v>0</v>
      </c>
      <c r="L4" s="8">
        <f>'Incerteza Densidade-Viscosidade'!L7</f>
        <v>1.0001133534738053E-2</v>
      </c>
      <c r="M4" s="8">
        <f>+(K4*L4)^2</f>
        <v>0</v>
      </c>
      <c r="N4" s="8">
        <f>(-'Base de Dados'!AG3*9.81*SIN('Gradiente de Pressão'!E3*PI()/180)*'Base de Dados'!AZ3)/'Gradiente de Pressão'!H3</f>
        <v>0</v>
      </c>
      <c r="O4" s="8">
        <f>'Propag. Incertezas (Jl, Jg)'!J4</f>
        <v>0.71707733886150604</v>
      </c>
      <c r="P4" s="8">
        <f>+(N4*O4)^2</f>
        <v>0</v>
      </c>
      <c r="Q4" s="8">
        <f>+(D4+G4+J4+M4+P4)^0.5</f>
        <v>7.5</v>
      </c>
      <c r="R4" s="21">
        <f>'Gradiente de Pressão'!H3</f>
        <v>57.31156095725494</v>
      </c>
    </row>
    <row r="5" spans="1:18" x14ac:dyDescent="0.35">
      <c r="A5" s="8" t="str">
        <f>'Base de Dados'!A4</f>
        <v>ID11_L025_G058_repetido</v>
      </c>
      <c r="B5" s="8">
        <f>('Gradiente de Pressão'!F4/'Gradiente de Pressão'!H4)</f>
        <v>1</v>
      </c>
      <c r="C5" s="67">
        <f>(0.25/100)*3000</f>
        <v>7.5</v>
      </c>
      <c r="D5" s="8">
        <f t="shared" ref="D5:D9" si="0">+(B5*C5)^2</f>
        <v>56.25</v>
      </c>
      <c r="E5" s="67">
        <v>0</v>
      </c>
      <c r="F5" s="8">
        <f>+(1/(2*1000)/'[1]Gradiente de Pressão'!C4)</f>
        <v>2.8571428571428574E-4</v>
      </c>
      <c r="G5" s="8">
        <f t="shared" ref="G5:G9" si="1">+(E5*F5)^2</f>
        <v>0</v>
      </c>
      <c r="H5" s="8">
        <f>'Gradiente de Pressão'!G4/'Gradiente de Pressão'!H4</f>
        <v>0</v>
      </c>
      <c r="I5" s="8">
        <f>'Propag. Incertezas (alpha)'!J4</f>
        <v>4.1626059701074379E-2</v>
      </c>
      <c r="J5" s="8">
        <f t="shared" ref="J5:J18" si="2">+(H5*I5)^2</f>
        <v>0</v>
      </c>
      <c r="K5" s="8">
        <f>('Base de Dados'!AI4*9.81*SIN('Gradiente de Pressão'!E4*PI()/180)*'Base de Dados'!AZ4)/'Gradiente de Pressão'!H4</f>
        <v>0</v>
      </c>
      <c r="L5" s="8">
        <f>'Incerteza Densidade-Viscosidade'!L8</f>
        <v>1.0001133534738053E-2</v>
      </c>
      <c r="M5" s="8">
        <f t="shared" ref="M5:M18" si="3">+(K5*L5)^2</f>
        <v>0</v>
      </c>
      <c r="N5" s="8">
        <f>(-'Base de Dados'!AG4*9.81*SIN('Gradiente de Pressão'!E4*PI()/180)*'Base de Dados'!AZ4)/'Gradiente de Pressão'!H4</f>
        <v>0</v>
      </c>
      <c r="O5" s="8">
        <f>'Propag. Incertezas (Jl, Jg)'!J5</f>
        <v>0.72177312193652321</v>
      </c>
      <c r="P5" s="8">
        <f t="shared" ref="P5:P9" si="4">+(N5*O5)^2</f>
        <v>0</v>
      </c>
      <c r="Q5" s="8">
        <f t="shared" ref="Q5:Q17" si="5">+(D5+G5+J5+M5+P5)^0.5</f>
        <v>7.5</v>
      </c>
      <c r="R5" s="21">
        <f>'Gradiente de Pressão'!H4</f>
        <v>0.37933623309950237</v>
      </c>
    </row>
    <row r="6" spans="1:18" x14ac:dyDescent="0.35">
      <c r="A6" s="8" t="str">
        <f>'Base de Dados'!A5</f>
        <v>ID12_L166_G646_repetido2</v>
      </c>
      <c r="B6" s="8">
        <f>('Gradiente de Pressão'!F5/'Gradiente de Pressão'!H5)</f>
        <v>1</v>
      </c>
      <c r="C6" s="67">
        <f>(0.05/100)*40000</f>
        <v>20</v>
      </c>
      <c r="D6" s="8">
        <f t="shared" si="0"/>
        <v>400</v>
      </c>
      <c r="E6" s="67">
        <v>0</v>
      </c>
      <c r="F6" s="8">
        <f>+(1/(2*1000)/'[1]Gradiente de Pressão'!C5)</f>
        <v>2.8571428571428574E-4</v>
      </c>
      <c r="G6" s="8">
        <f t="shared" si="1"/>
        <v>0</v>
      </c>
      <c r="H6" s="8">
        <f>'Gradiente de Pressão'!G5/'Gradiente de Pressão'!H5</f>
        <v>0</v>
      </c>
      <c r="I6" s="8">
        <f>'Propag. Incertezas (alpha)'!J5</f>
        <v>3.5006443054471315E-2</v>
      </c>
      <c r="J6" s="8">
        <f t="shared" si="2"/>
        <v>0</v>
      </c>
      <c r="K6" s="8">
        <f>('Base de Dados'!AI5*9.81*SIN('Gradiente de Pressão'!E5*PI()/180)*'Base de Dados'!AZ5)/'Gradiente de Pressão'!H5</f>
        <v>0</v>
      </c>
      <c r="L6" s="8">
        <f>'Incerteza Densidade-Viscosidade'!L9</f>
        <v>1.0001133079757415E-2</v>
      </c>
      <c r="M6" s="8">
        <f t="shared" si="3"/>
        <v>0</v>
      </c>
      <c r="N6" s="8">
        <f>(-'Base de Dados'!AG5*9.81*SIN('Gradiente de Pressão'!E5*PI()/180)*'Base de Dados'!AZ5)/'Gradiente de Pressão'!H5</f>
        <v>0</v>
      </c>
      <c r="O6" s="8">
        <f>'Propag. Incertezas (Jl, Jg)'!J6</f>
        <v>1.4353958199008829</v>
      </c>
      <c r="P6" s="8">
        <f t="shared" si="4"/>
        <v>0</v>
      </c>
      <c r="Q6" s="8">
        <f t="shared" si="5"/>
        <v>20</v>
      </c>
      <c r="R6" s="21">
        <f>'Gradiente de Pressão'!H5</f>
        <v>1758.0286234296411</v>
      </c>
    </row>
    <row r="7" spans="1:18" x14ac:dyDescent="0.35">
      <c r="A7" s="8" t="str">
        <f>'Base de Dados'!A6</f>
        <v>ID13_L01_G1844</v>
      </c>
      <c r="B7" s="8">
        <f>('Gradiente de Pressão'!F6/'Gradiente de Pressão'!H6)</f>
        <v>1</v>
      </c>
      <c r="C7" s="67">
        <f t="shared" ref="C7:C9" si="6">(0.25/100)*3000</f>
        <v>7.5</v>
      </c>
      <c r="D7" s="8">
        <f t="shared" si="0"/>
        <v>56.25</v>
      </c>
      <c r="E7" s="67">
        <v>0</v>
      </c>
      <c r="F7" s="8">
        <f>+(1/(2*1000)/'[1]Gradiente de Pressão'!C6)</f>
        <v>2.8571428571428574E-4</v>
      </c>
      <c r="G7" s="8">
        <f t="shared" si="1"/>
        <v>0</v>
      </c>
      <c r="H7" s="8">
        <f>'Gradiente de Pressão'!G6/'Gradiente de Pressão'!H6</f>
        <v>0</v>
      </c>
      <c r="I7" s="8">
        <f>'Propag. Incertezas (alpha)'!J6</f>
        <v>1.572686474499899E-2</v>
      </c>
      <c r="J7" s="8">
        <f t="shared" si="2"/>
        <v>0</v>
      </c>
      <c r="K7" s="8">
        <f>('Base de Dados'!AI6*9.81*SIN('Gradiente de Pressão'!E6*PI()/180)*'Base de Dados'!AZ6)/'Gradiente de Pressão'!H6</f>
        <v>0</v>
      </c>
      <c r="L7" s="8">
        <f>'Incerteza Densidade-Viscosidade'!L10</f>
        <v>1.0000786085470378E-2</v>
      </c>
      <c r="M7" s="8">
        <f t="shared" si="3"/>
        <v>0</v>
      </c>
      <c r="N7" s="8">
        <f>(-'Base de Dados'!AG6*9.81*SIN('Gradiente de Pressão'!E6*PI()/180)*'Base de Dados'!AZ6)/'Gradiente de Pressão'!H6</f>
        <v>0</v>
      </c>
      <c r="O7" s="8">
        <f>'Propag. Incertezas (Jl, Jg)'!J7</f>
        <v>0.70198898685718147</v>
      </c>
      <c r="P7" s="8">
        <f t="shared" si="4"/>
        <v>0</v>
      </c>
      <c r="Q7" s="8">
        <f t="shared" si="5"/>
        <v>7.5</v>
      </c>
      <c r="R7" s="21">
        <f>'Gradiente de Pressão'!H6</f>
        <v>397.94963028618292</v>
      </c>
    </row>
    <row r="8" spans="1:18" x14ac:dyDescent="0.35">
      <c r="A8" s="8" t="str">
        <f>'Base de Dados'!A7</f>
        <v>ID14_L02_G374</v>
      </c>
      <c r="B8" s="8">
        <f>('Gradiente de Pressão'!F7/'Gradiente de Pressão'!H7)</f>
        <v>1</v>
      </c>
      <c r="C8" s="67">
        <f t="shared" si="6"/>
        <v>7.5</v>
      </c>
      <c r="D8" s="8">
        <f t="shared" si="0"/>
        <v>56.25</v>
      </c>
      <c r="E8" s="67">
        <v>0</v>
      </c>
      <c r="F8" s="8">
        <f>+(1/(2*1000)/'[1]Gradiente de Pressão'!C7)</f>
        <v>2.8571428571428574E-4</v>
      </c>
      <c r="G8" s="8">
        <f t="shared" si="1"/>
        <v>0</v>
      </c>
      <c r="H8" s="8">
        <f>'Gradiente de Pressão'!G7/'Gradiente de Pressão'!H7</f>
        <v>0</v>
      </c>
      <c r="I8" s="8">
        <f>'Propag. Incertezas (alpha)'!J7</f>
        <v>3.4934270432286772E-2</v>
      </c>
      <c r="J8" s="8">
        <f t="shared" si="2"/>
        <v>0</v>
      </c>
      <c r="K8" s="8">
        <f>('Base de Dados'!AI7*9.81*SIN('Gradiente de Pressão'!E7*PI()/180)*'Base de Dados'!AZ7)/'Gradiente de Pressão'!H7</f>
        <v>0</v>
      </c>
      <c r="L8" s="8">
        <f>'Incerteza Densidade-Viscosidade'!L11</f>
        <v>1.0001133534738053E-2</v>
      </c>
      <c r="M8" s="8">
        <f t="shared" si="3"/>
        <v>0</v>
      </c>
      <c r="N8" s="8">
        <f>(-'Base de Dados'!AG7*9.81*SIN('Gradiente de Pressão'!E7*PI()/180)*'Base de Dados'!AZ7)/'Gradiente de Pressão'!H7</f>
        <v>0</v>
      </c>
      <c r="O8" s="8">
        <f>'Propag. Incertezas (Jl, Jg)'!J8</f>
        <v>0.7159421799512925</v>
      </c>
      <c r="P8" s="8">
        <f t="shared" si="4"/>
        <v>0</v>
      </c>
      <c r="Q8" s="8">
        <f t="shared" si="5"/>
        <v>7.5</v>
      </c>
      <c r="R8" s="21">
        <f>'Gradiente de Pressão'!H7</f>
        <v>7.5041157607032352</v>
      </c>
    </row>
    <row r="9" spans="1:18" x14ac:dyDescent="0.35">
      <c r="A9" s="8" t="str">
        <f>'Base de Dados'!A8</f>
        <v>ID15_L117_G176_repetido</v>
      </c>
      <c r="B9" s="8">
        <f>('Gradiente de Pressão'!F8/'Gradiente de Pressão'!H8)</f>
        <v>1</v>
      </c>
      <c r="C9" s="67">
        <f t="shared" si="6"/>
        <v>7.5</v>
      </c>
      <c r="D9" s="8">
        <f t="shared" si="0"/>
        <v>56.25</v>
      </c>
      <c r="E9" s="67">
        <v>0</v>
      </c>
      <c r="F9" s="8">
        <f>+(1/(2*1000)/'[1]Gradiente de Pressão'!C8)</f>
        <v>2.8571428571428574E-4</v>
      </c>
      <c r="G9" s="8">
        <f t="shared" si="1"/>
        <v>0</v>
      </c>
      <c r="H9" s="8">
        <f>'Gradiente de Pressão'!G8/'Gradiente de Pressão'!H8</f>
        <v>0</v>
      </c>
      <c r="I9" s="8">
        <f>'Propag. Incertezas (alpha)'!J8</f>
        <v>3.5413900364529016E-2</v>
      </c>
      <c r="J9" s="8">
        <f t="shared" si="2"/>
        <v>0</v>
      </c>
      <c r="K9" s="8">
        <f>('Base de Dados'!AI8*9.81*SIN('Gradiente de Pressão'!E8*PI()/180)*'Base de Dados'!AZ8)/'Gradiente de Pressão'!H8</f>
        <v>0</v>
      </c>
      <c r="L9" s="8">
        <f>'Incerteza Densidade-Viscosidade'!L12</f>
        <v>1.0001133989992781E-2</v>
      </c>
      <c r="M9" s="8">
        <f t="shared" si="3"/>
        <v>0</v>
      </c>
      <c r="N9" s="8">
        <f>(-'Base de Dados'!AG8*9.81*SIN('Gradiente de Pressão'!E8*PI()/180)*'Base de Dados'!AZ8)/'Gradiente de Pressão'!H8</f>
        <v>0</v>
      </c>
      <c r="O9" s="8">
        <f>'Propag. Incertezas (Jl, Jg)'!J9</f>
        <v>0.77207975627551784</v>
      </c>
      <c r="P9" s="8">
        <f t="shared" si="4"/>
        <v>0</v>
      </c>
      <c r="Q9" s="8">
        <f t="shared" si="5"/>
        <v>7.5</v>
      </c>
      <c r="R9" s="21">
        <f>'Gradiente de Pressão'!H8</f>
        <v>601.11699150005882</v>
      </c>
    </row>
    <row r="10" spans="1:18" x14ac:dyDescent="0.3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18" x14ac:dyDescent="0.35">
      <c r="A11" s="8" t="str">
        <f>'Base de Dados'!A10</f>
        <v>ID22</v>
      </c>
      <c r="B11" s="8">
        <f>('Gradiente de Pressão'!F10/'Gradiente de Pressão'!H10)</f>
        <v>-1.3555467678683841</v>
      </c>
      <c r="C11" s="8">
        <f t="shared" ref="C11:C12" si="7">(0.25/100)*3000</f>
        <v>7.5</v>
      </c>
      <c r="D11" s="8">
        <f t="shared" ref="D11:D12" si="8">+(B11*C11)^2</f>
        <v>103.35977099316131</v>
      </c>
      <c r="E11" s="67">
        <v>0</v>
      </c>
      <c r="F11" s="8">
        <f>+(1/(2*1000)/'[1]Gradiente de Pressão'!C10)</f>
        <v>2.8571428571428574E-4</v>
      </c>
      <c r="G11" s="8">
        <f t="shared" ref="G11:G18" si="9">+(E11*F11)^2</f>
        <v>0</v>
      </c>
      <c r="H11" s="8">
        <f>'Gradiente de Pressão'!G10/'Gradiente de Pressão'!H10</f>
        <v>2.3555467678683844</v>
      </c>
      <c r="I11" s="8">
        <f>'Propag. Incertezas (alpha)'!J10</f>
        <v>2.8075943599413726E-2</v>
      </c>
      <c r="J11" s="8">
        <f t="shared" si="2"/>
        <v>4.3737321716169411E-3</v>
      </c>
      <c r="K11" s="8">
        <f>('Base de Dados'!AI10*9.81*SIN('Gradiente de Pressão'!E10*PI()/180)*'Base de Dados'!AZ10)/'Gradiente de Pressão'!H10</f>
        <v>2.361484852143247</v>
      </c>
      <c r="L11" s="8">
        <f>'Incerteza Densidade-Viscosidade'!L14</f>
        <v>1.0001133534738053E-2</v>
      </c>
      <c r="M11" s="8">
        <f t="shared" si="3"/>
        <v>5.5778750349473149E-4</v>
      </c>
      <c r="N11" s="8">
        <f>(-'Base de Dados'!AG10*9.81*SIN('Gradiente de Pressão'!E10*PI()/180)*'Base de Dados'!AZ10)/'Gradiente de Pressão'!H10</f>
        <v>-5.9380842748633141E-3</v>
      </c>
      <c r="O11" s="8">
        <f>'Propag. Incertezas (Jl, Jg)'!J11</f>
        <v>0.77736889260658593</v>
      </c>
      <c r="P11" s="8">
        <f t="shared" ref="P11:P17" si="10">+(N11*O11)^2</f>
        <v>2.130821300261276E-5</v>
      </c>
      <c r="Q11" s="8">
        <f t="shared" si="5"/>
        <v>10.166844339373423</v>
      </c>
      <c r="R11" s="21">
        <f>ABS('Gradiente de Pressão'!H10)</f>
        <v>1067.3013384365133</v>
      </c>
    </row>
    <row r="12" spans="1:18" x14ac:dyDescent="0.35">
      <c r="A12" s="8" t="str">
        <f>'Base de Dados'!A11</f>
        <v>ID23</v>
      </c>
      <c r="B12" s="8">
        <f>('Gradiente de Pressão'!F11/'Gradiente de Pressão'!H11)</f>
        <v>0.28783631000007465</v>
      </c>
      <c r="C12" s="8">
        <f t="shared" si="7"/>
        <v>7.5</v>
      </c>
      <c r="D12" s="8">
        <f t="shared" si="8"/>
        <v>4.6602979511883218</v>
      </c>
      <c r="E12" s="67">
        <v>0</v>
      </c>
      <c r="F12" s="8">
        <f>+(1/(2*1000)/'[1]Gradiente de Pressão'!C11)</f>
        <v>2.8571428571428574E-4</v>
      </c>
      <c r="G12" s="8">
        <f t="shared" si="9"/>
        <v>0</v>
      </c>
      <c r="H12" s="8">
        <f>'Gradiente de Pressão'!G11/'Gradiente de Pressão'!H11</f>
        <v>0.71216368999992541</v>
      </c>
      <c r="I12" s="8">
        <f>'Propag. Incertezas (alpha)'!J11</f>
        <v>2.858541798302329E-2</v>
      </c>
      <c r="J12" s="8">
        <f t="shared" si="2"/>
        <v>4.1442767396616492E-4</v>
      </c>
      <c r="K12" s="8">
        <f>('Base de Dados'!AI11*9.81*SIN('Gradiente de Pressão'!E11*PI()/180)*'Base de Dados'!AZ11)/'Gradiente de Pressão'!H11</f>
        <v>0.71326846136700961</v>
      </c>
      <c r="L12" s="8">
        <f>'Incerteza Densidade-Viscosidade'!L15</f>
        <v>1.0001133534738053E-2</v>
      </c>
      <c r="M12" s="8">
        <f t="shared" si="3"/>
        <v>5.0886724210770191E-5</v>
      </c>
      <c r="N12" s="8">
        <f>(-'Base de Dados'!AG11*9.81*SIN('Gradiente de Pressão'!E11*PI()/180)*'Base de Dados'!AZ11)/'Gradiente de Pressão'!H11</f>
        <v>-1.1047713670842157E-3</v>
      </c>
      <c r="O12" s="8">
        <f>'Propag. Incertezas (Jl, Jg)'!J12</f>
        <v>0.72416095732698071</v>
      </c>
      <c r="P12" s="8">
        <f t="shared" si="10"/>
        <v>6.4005166634692534E-7</v>
      </c>
      <c r="Q12" s="8">
        <f>+(D12+G12+J12+M12+P12)^0.5</f>
        <v>2.1588802434683969</v>
      </c>
      <c r="R12" s="21">
        <f>ABS('Gradiente de Pressão'!H11)</f>
        <v>873.90451474430438</v>
      </c>
    </row>
    <row r="13" spans="1:18" x14ac:dyDescent="0.35">
      <c r="A13" s="8" t="str">
        <f>'Base de Dados'!A12</f>
        <v>ID24</v>
      </c>
      <c r="B13" s="8">
        <f>('Gradiente de Pressão'!F12/'Gradiente de Pressão'!H12)</f>
        <v>-1.4805437554680914</v>
      </c>
      <c r="C13" s="8">
        <f>(0.05/100)*40000</f>
        <v>20</v>
      </c>
      <c r="D13" s="8">
        <f t="shared" ref="D13:D18" si="11">+(B13*C13)^2</f>
        <v>876.8039247422239</v>
      </c>
      <c r="E13" s="67">
        <v>0</v>
      </c>
      <c r="F13" s="8">
        <f>+(1/(2*1000)/'[1]Gradiente de Pressão'!C12)</f>
        <v>2.8571428571428574E-4</v>
      </c>
      <c r="G13" s="8">
        <f t="shared" si="9"/>
        <v>0</v>
      </c>
      <c r="H13" s="8">
        <f>'Gradiente de Pressão'!G12/'Gradiente de Pressão'!H12</f>
        <v>2.4805437554680911</v>
      </c>
      <c r="I13" s="8">
        <f>'Propag. Incertezas (alpha)'!J12</f>
        <v>2.7437188539792663E-2</v>
      </c>
      <c r="J13" s="8">
        <f t="shared" si="2"/>
        <v>4.6320474495298563E-3</v>
      </c>
      <c r="K13" s="8">
        <f>('Base de Dados'!AI12*9.81*SIN('Gradiente de Pressão'!E12*PI()/180)*'Base de Dados'!AZ12)/'Gradiente de Pressão'!H12</f>
        <v>2.4901875454201399</v>
      </c>
      <c r="L13" s="8">
        <f>'Incerteza Densidade-Viscosidade'!L16</f>
        <v>1.0001133534738053E-2</v>
      </c>
      <c r="M13" s="8">
        <f t="shared" si="3"/>
        <v>6.2024399085354757E-4</v>
      </c>
      <c r="N13" s="8">
        <f>(-'Base de Dados'!AG12*9.81*SIN('Gradiente de Pressão'!E12*PI()/180)*'Base de Dados'!AZ12)/'Gradiente de Pressão'!H12</f>
        <v>-9.6437899520486845E-3</v>
      </c>
      <c r="O13" s="8">
        <f>'Propag. Incertezas (Jl, Jg)'!J13</f>
        <v>0.93063638384892067</v>
      </c>
      <c r="P13" s="8">
        <f t="shared" si="10"/>
        <v>8.0548144465035084E-5</v>
      </c>
      <c r="Q13" s="8">
        <f t="shared" si="5"/>
        <v>29.610965157890558</v>
      </c>
      <c r="R13" s="21">
        <f>ABS('Gradiente de Pressão'!H12)</f>
        <v>2066.2808173257818</v>
      </c>
    </row>
    <row r="14" spans="1:18" x14ac:dyDescent="0.35">
      <c r="A14" s="8" t="str">
        <f>'Base de Dados'!A13</f>
        <v>ID25 o ID29</v>
      </c>
      <c r="B14" s="8">
        <f>('Gradiente de Pressão'!F13/'Gradiente de Pressão'!H13)</f>
        <v>7.0776151316284324</v>
      </c>
      <c r="C14" s="69">
        <f t="shared" ref="C14:C18" si="12">(0.05/100)*40000</f>
        <v>20</v>
      </c>
      <c r="D14" s="8">
        <f t="shared" si="11"/>
        <v>20037.054380582304</v>
      </c>
      <c r="E14" s="67">
        <v>0</v>
      </c>
      <c r="F14" s="8">
        <f>+(1/(2*1000)/'[1]Gradiente de Pressão'!C13)</f>
        <v>2.8571428571428574E-4</v>
      </c>
      <c r="G14" s="8">
        <f t="shared" si="9"/>
        <v>0</v>
      </c>
      <c r="H14" s="8">
        <f>'Gradiente de Pressão'!G13/'Gradiente de Pressão'!H13</f>
        <v>-6.0776151316284324</v>
      </c>
      <c r="I14" s="8">
        <f>'Propag. Incertezas (alpha)'!J13</f>
        <v>3.5506032349503128E-2</v>
      </c>
      <c r="J14" s="8">
        <f t="shared" si="2"/>
        <v>4.6566187035877137E-2</v>
      </c>
      <c r="K14" s="8">
        <f>('Base de Dados'!AI13*9.81*SIN('Gradiente de Pressão'!E13*PI()/180)*'Base de Dados'!AZ13)/'Gradiente de Pressão'!H13</f>
        <v>-6.0891349515890072</v>
      </c>
      <c r="L14" s="8">
        <f>'Incerteza Densidade-Viscosidade'!L17</f>
        <v>1.0001131943503527E-2</v>
      </c>
      <c r="M14" s="8">
        <f t="shared" si="3"/>
        <v>3.7085958875379362E-3</v>
      </c>
      <c r="N14" s="8">
        <f>(-'Base de Dados'!AG13*9.81*SIN('Gradiente de Pressão'!E13*PI()/180)*'Base de Dados'!AZ13)/'Gradiente de Pressão'!H13</f>
        <v>1.151981996057465E-2</v>
      </c>
      <c r="O14" s="8">
        <f>'Propag. Incertezas (Jl, Jg)'!J14</f>
        <v>0.74576551778622513</v>
      </c>
      <c r="P14" s="8">
        <f t="shared" si="10"/>
        <v>7.3806732846656397E-5</v>
      </c>
      <c r="Q14" s="8">
        <f t="shared" si="5"/>
        <v>141.55248047693109</v>
      </c>
      <c r="R14" s="21">
        <f>ABS('Gradiente de Pressão'!H13)</f>
        <v>668.25500124172095</v>
      </c>
    </row>
    <row r="15" spans="1:18" x14ac:dyDescent="0.35">
      <c r="A15" s="8" t="str">
        <f>'Base de Dados'!A14</f>
        <v>ID26</v>
      </c>
      <c r="B15" s="8">
        <f>('Gradiente de Pressão'!F14/'Gradiente de Pressão'!H14)</f>
        <v>-360.67394757333943</v>
      </c>
      <c r="C15" s="69">
        <f t="shared" si="12"/>
        <v>20</v>
      </c>
      <c r="D15" s="8">
        <f t="shared" si="11"/>
        <v>52034278.583254397</v>
      </c>
      <c r="E15" s="67">
        <v>0</v>
      </c>
      <c r="F15" s="8">
        <f>+(1/(2*1000)/'[1]Gradiente de Pressão'!C14)</f>
        <v>2.8571428571428574E-4</v>
      </c>
      <c r="G15" s="8">
        <f t="shared" si="9"/>
        <v>0</v>
      </c>
      <c r="H15" s="8">
        <f>'Gradiente de Pressão'!G14/'Gradiente de Pressão'!H14</f>
        <v>361.67394757333943</v>
      </c>
      <c r="I15" s="8">
        <f>'Propag. Incertezas (alpha)'!J14</f>
        <v>3.5615924242620604E-2</v>
      </c>
      <c r="J15" s="8">
        <f t="shared" si="2"/>
        <v>165.92922721736943</v>
      </c>
      <c r="K15" s="8">
        <f>('Base de Dados'!AI14*9.81*SIN('Gradiente de Pressão'!E14*PI()/180)*'Base de Dados'!AZ14)/'Gradiente de Pressão'!H14</f>
        <v>362.38839327137697</v>
      </c>
      <c r="L15" s="8">
        <f>'Incerteza Densidade-Viscosidade'!L18</f>
        <v>1.0001133534738053E-2</v>
      </c>
      <c r="M15" s="8">
        <f t="shared" si="3"/>
        <v>13.135512163390414</v>
      </c>
      <c r="N15" s="8">
        <f>(-'Base de Dados'!AG14*9.81*SIN('Gradiente de Pressão'!E14*PI()/180)*'Base de Dados'!AZ14)/'Gradiente de Pressão'!H14</f>
        <v>-0.71444569803752689</v>
      </c>
      <c r="O15" s="8">
        <f>'Propag. Incertezas (Jl, Jg)'!J15</f>
        <v>0.74638404804273073</v>
      </c>
      <c r="P15" s="8">
        <f t="shared" si="10"/>
        <v>0.28435649271055408</v>
      </c>
      <c r="Q15" s="8">
        <f t="shared" si="5"/>
        <v>7213.4913829816333</v>
      </c>
      <c r="R15" s="21">
        <f>ABS('Gradiente de Pressão'!H14)</f>
        <v>9.6389288182062955</v>
      </c>
    </row>
    <row r="16" spans="1:18" x14ac:dyDescent="0.35">
      <c r="A16" s="8" t="str">
        <f>'Base de Dados'!A15</f>
        <v>ID27</v>
      </c>
      <c r="B16" s="8">
        <f>('Gradiente de Pressão'!F15/'Gradiente de Pressão'!H15)</f>
        <v>49.811734401946616</v>
      </c>
      <c r="C16" s="69">
        <f t="shared" si="12"/>
        <v>20</v>
      </c>
      <c r="D16" s="8">
        <f t="shared" si="11"/>
        <v>992483.55365202879</v>
      </c>
      <c r="E16" s="67">
        <v>0</v>
      </c>
      <c r="F16" s="8">
        <f>+(1/(2*1000)/'[1]Gradiente de Pressão'!C15)</f>
        <v>2.8571428571428574E-4</v>
      </c>
      <c r="G16" s="8">
        <f t="shared" si="9"/>
        <v>0</v>
      </c>
      <c r="H16" s="8">
        <f>'Gradiente de Pressão'!G15/'Gradiente de Pressão'!H15</f>
        <v>-48.811734401946616</v>
      </c>
      <c r="I16" s="8">
        <f>'Propag. Incertezas (alpha)'!J15</f>
        <v>3.5308218005289695E-2</v>
      </c>
      <c r="J16" s="8">
        <f t="shared" si="2"/>
        <v>2.9702983761211286</v>
      </c>
      <c r="K16" s="8">
        <f>('Base de Dados'!AI15*9.81*SIN('Gradiente de Pressão'!E15*PI()/180)*'Base de Dados'!AZ15)/'Gradiente de Pressão'!H15</f>
        <v>-48.905617474850146</v>
      </c>
      <c r="L16" s="8">
        <f>'Incerteza Densidade-Viscosidade'!L19</f>
        <v>1.0001133989992783E-2</v>
      </c>
      <c r="M16" s="8">
        <f t="shared" si="3"/>
        <v>0.23923018976024188</v>
      </c>
      <c r="N16" s="8">
        <f>(-'Base de Dados'!AG15*9.81*SIN('Gradiente de Pressão'!E15*PI()/180)*'Base de Dados'!AZ15)/'Gradiente de Pressão'!H15</f>
        <v>9.3883072903527612E-2</v>
      </c>
      <c r="O16" s="8">
        <f>'Propag. Incertezas (Jl, Jg)'!J16</f>
        <v>0.75679619807251308</v>
      </c>
      <c r="P16" s="8">
        <f t="shared" si="10"/>
        <v>5.0481526098071347E-3</v>
      </c>
      <c r="Q16" s="8">
        <f t="shared" si="5"/>
        <v>996.23630140080081</v>
      </c>
      <c r="R16" s="21">
        <f>ABS('Gradiente de Pressão'!H15)</f>
        <v>105.33030903737563</v>
      </c>
    </row>
    <row r="17" spans="1:18" x14ac:dyDescent="0.35">
      <c r="A17" s="8" t="str">
        <f>'Base de Dados'!A16</f>
        <v>ID28</v>
      </c>
      <c r="B17" s="8">
        <f>('Gradiente de Pressão'!F16/'Gradiente de Pressão'!H16)</f>
        <v>11.83022309016847</v>
      </c>
      <c r="C17" s="69">
        <f t="shared" si="12"/>
        <v>20</v>
      </c>
      <c r="D17" s="8">
        <f t="shared" si="11"/>
        <v>55981.671345262097</v>
      </c>
      <c r="E17" s="67">
        <v>0</v>
      </c>
      <c r="F17" s="8">
        <f>+(1/(2*1000)/'[1]Gradiente de Pressão'!C16)</f>
        <v>2.8571428571428574E-4</v>
      </c>
      <c r="G17" s="8">
        <f t="shared" si="9"/>
        <v>0</v>
      </c>
      <c r="H17" s="8">
        <f>'Gradiente de Pressão'!G16/'Gradiente de Pressão'!H16</f>
        <v>-10.83022309016847</v>
      </c>
      <c r="I17" s="8">
        <f>'Propag. Incertezas (alpha)'!J16</f>
        <v>3.5807531246643889E-2</v>
      </c>
      <c r="J17" s="8">
        <f t="shared" si="2"/>
        <v>0.15039159471837224</v>
      </c>
      <c r="K17" s="8">
        <f>('Base de Dados'!AI16*9.81*SIN('Gradiente de Pressão'!E16*PI()/180)*'Base de Dados'!AZ16)/'Gradiente de Pressão'!H16</f>
        <v>-10.852167130933228</v>
      </c>
      <c r="L17" s="8">
        <f>'Incerteza Densidade-Viscosidade'!L20</f>
        <v>1.0000787506692666E-2</v>
      </c>
      <c r="M17" s="8">
        <f t="shared" si="3"/>
        <v>1.1778808102691494E-2</v>
      </c>
      <c r="N17" s="8">
        <f>(-'Base de Dados'!AG16*9.81*SIN('Gradiente de Pressão'!E16*PI()/180)*'Base de Dados'!AZ16)/'Gradiente de Pressão'!H16</f>
        <v>2.1944040764758553E-2</v>
      </c>
      <c r="O17" s="8">
        <f>'Propag. Incertezas (Jl, Jg)'!J17</f>
        <v>0.72530157985573296</v>
      </c>
      <c r="P17" s="8">
        <f t="shared" si="10"/>
        <v>2.5332056595628912E-4</v>
      </c>
      <c r="Q17" s="8">
        <f t="shared" si="5"/>
        <v>236.60480504204787</v>
      </c>
      <c r="R17" s="21">
        <f>ABS('Gradiente de Pressão'!H16)</f>
        <v>232.44724716203018</v>
      </c>
    </row>
    <row r="18" spans="1:18" x14ac:dyDescent="0.35">
      <c r="A18" s="8" t="str">
        <f>'Base de Dados'!A17</f>
        <v>ID30</v>
      </c>
      <c r="B18" s="8">
        <f>('Gradiente de Pressão'!F17/'Gradiente de Pressão'!H17)</f>
        <v>8.5400518691912968</v>
      </c>
      <c r="C18" s="69">
        <f t="shared" si="12"/>
        <v>20</v>
      </c>
      <c r="D18" s="8">
        <f t="shared" si="11"/>
        <v>29172.994371391102</v>
      </c>
      <c r="E18" s="67">
        <v>0</v>
      </c>
      <c r="F18" s="8">
        <f>+(1/(2*1000)/'[1]Gradiente de Pressão'!C17)</f>
        <v>2.8571428571428574E-4</v>
      </c>
      <c r="G18" s="8">
        <f t="shared" si="9"/>
        <v>0</v>
      </c>
      <c r="H18" s="8">
        <f>'Gradiente de Pressão'!G17/'Gradiente de Pressão'!H17</f>
        <v>-7.5400518691912968</v>
      </c>
      <c r="I18" s="8">
        <f>'Propag. Incertezas (alpha)'!J17</f>
        <v>3.5489817670786697E-2</v>
      </c>
      <c r="J18" s="8">
        <f t="shared" si="2"/>
        <v>7.160711938279922E-2</v>
      </c>
      <c r="K18" s="8">
        <f>('Base de Dados'!AI17*9.81*SIN('Gradiente de Pressão'!E17*PI()/180)*'Base de Dados'!AZ17)/'Gradiente de Pressão'!H17</f>
        <v>-7.5543642037821961</v>
      </c>
      <c r="L18" s="8">
        <f>'Incerteza Densidade-Viscosidade'!L21</f>
        <v>1.0001133989992783E-2</v>
      </c>
      <c r="M18" s="8">
        <f t="shared" si="3"/>
        <v>5.7081362260349494E-3</v>
      </c>
      <c r="N18" s="8">
        <f>(-'Base de Dados'!AG17*9.81*SIN('Gradiente de Pressão'!E17*PI()/180)*'Base de Dados'!AZ17)/'Gradiente de Pressão'!H17</f>
        <v>1.4312334590900611E-2</v>
      </c>
      <c r="O18" s="8">
        <f>'Propag. Incertezas (Jl, Jg)'!J18</f>
        <v>0.74457749690967212</v>
      </c>
      <c r="P18" s="8">
        <f t="shared" ref="P18" si="13">+(N18*O18)^2</f>
        <v>1.1356402435622367E-4</v>
      </c>
      <c r="Q18" s="8">
        <f>+(D18+G18+J18+M18+P18)^0.5</f>
        <v>170.8012640474617</v>
      </c>
      <c r="R18" s="21">
        <f>ABS('Gradiente de Pressão'!H17)</f>
        <v>549.89428797434721</v>
      </c>
    </row>
    <row r="19" spans="1:18" x14ac:dyDescent="0.35">
      <c r="C19" s="34"/>
    </row>
    <row r="20" spans="1:18" x14ac:dyDescent="0.35">
      <c r="C20" s="34"/>
    </row>
    <row r="21" spans="1:18" x14ac:dyDescent="0.35">
      <c r="C21" s="34"/>
    </row>
    <row r="22" spans="1:18" x14ac:dyDescent="0.35">
      <c r="C22" s="34"/>
      <c r="P22" s="66" t="s">
        <v>191</v>
      </c>
      <c r="Q22" s="66" t="s">
        <v>193</v>
      </c>
    </row>
    <row r="23" spans="1:18" x14ac:dyDescent="0.35">
      <c r="C23" s="34"/>
      <c r="P23" s="67">
        <v>22</v>
      </c>
      <c r="Q23" s="67">
        <f>Q11</f>
        <v>10.166844339373423</v>
      </c>
    </row>
    <row r="24" spans="1:18" x14ac:dyDescent="0.35">
      <c r="C24" s="34"/>
      <c r="P24" s="67">
        <v>23</v>
      </c>
      <c r="Q24" s="67">
        <f t="shared" ref="Q24:Q30" si="14">Q12</f>
        <v>2.1588802434683969</v>
      </c>
    </row>
    <row r="25" spans="1:18" x14ac:dyDescent="0.35">
      <c r="C25" s="34"/>
      <c r="P25" s="67">
        <v>24</v>
      </c>
      <c r="Q25" s="67">
        <f t="shared" si="14"/>
        <v>29.610965157890558</v>
      </c>
    </row>
    <row r="26" spans="1:18" x14ac:dyDescent="0.35">
      <c r="C26" s="34"/>
      <c r="P26" s="67" t="s">
        <v>192</v>
      </c>
      <c r="Q26" s="67">
        <f t="shared" si="14"/>
        <v>141.55248047693109</v>
      </c>
    </row>
    <row r="27" spans="1:18" x14ac:dyDescent="0.35">
      <c r="C27" s="34"/>
      <c r="P27" s="67">
        <v>26</v>
      </c>
      <c r="Q27" s="67">
        <f t="shared" si="14"/>
        <v>7213.4913829816333</v>
      </c>
    </row>
    <row r="28" spans="1:18" x14ac:dyDescent="0.35">
      <c r="C28" s="34"/>
      <c r="P28" s="67">
        <v>27</v>
      </c>
      <c r="Q28" s="67">
        <f t="shared" si="14"/>
        <v>996.23630140080081</v>
      </c>
    </row>
    <row r="29" spans="1:18" x14ac:dyDescent="0.35">
      <c r="C29" s="34"/>
      <c r="P29" s="67">
        <v>28</v>
      </c>
      <c r="Q29" s="67">
        <f t="shared" si="14"/>
        <v>236.60480504204787</v>
      </c>
    </row>
    <row r="30" spans="1:18" x14ac:dyDescent="0.35">
      <c r="P30" s="67">
        <v>30</v>
      </c>
      <c r="Q30" s="67">
        <f t="shared" si="14"/>
        <v>170.8012640474617</v>
      </c>
    </row>
    <row r="32" spans="1:18" x14ac:dyDescent="0.35">
      <c r="P32" s="68" t="s">
        <v>191</v>
      </c>
      <c r="Q32" s="68" t="s">
        <v>193</v>
      </c>
    </row>
    <row r="33" spans="16:17" x14ac:dyDescent="0.35">
      <c r="P33" s="69">
        <v>10</v>
      </c>
      <c r="Q33" s="69">
        <f>Q4</f>
        <v>7.5</v>
      </c>
    </row>
    <row r="34" spans="16:17" x14ac:dyDescent="0.35">
      <c r="P34" s="69">
        <v>11</v>
      </c>
      <c r="Q34" s="69">
        <f t="shared" ref="Q34:Q38" si="15">Q5</f>
        <v>7.5</v>
      </c>
    </row>
    <row r="35" spans="16:17" x14ac:dyDescent="0.35">
      <c r="P35" s="69">
        <v>12</v>
      </c>
      <c r="Q35" s="69">
        <f t="shared" si="15"/>
        <v>20</v>
      </c>
    </row>
    <row r="36" spans="16:17" x14ac:dyDescent="0.35">
      <c r="P36" s="69">
        <v>13</v>
      </c>
      <c r="Q36" s="69">
        <f t="shared" si="15"/>
        <v>7.5</v>
      </c>
    </row>
    <row r="37" spans="16:17" x14ac:dyDescent="0.35">
      <c r="P37" s="69">
        <v>14</v>
      </c>
      <c r="Q37" s="69">
        <f t="shared" si="15"/>
        <v>7.5</v>
      </c>
    </row>
    <row r="38" spans="16:17" x14ac:dyDescent="0.35">
      <c r="P38" s="69">
        <v>15</v>
      </c>
      <c r="Q38" s="69">
        <f t="shared" si="15"/>
        <v>7.5</v>
      </c>
    </row>
  </sheetData>
  <mergeCells count="7">
    <mergeCell ref="R2:R3"/>
    <mergeCell ref="A2:A3"/>
    <mergeCell ref="B2:D2"/>
    <mergeCell ref="E2:G2"/>
    <mergeCell ref="H2:J2"/>
    <mergeCell ref="K2:M2"/>
    <mergeCell ref="N2:P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8CA53-D024-42C9-A324-310B0EF04323}">
  <sheetPr codeName="Planilha7"/>
  <dimension ref="B1:N17"/>
  <sheetViews>
    <sheetView workbookViewId="0">
      <selection activeCell="J9" sqref="J9"/>
    </sheetView>
  </sheetViews>
  <sheetFormatPr defaultRowHeight="14.5" x14ac:dyDescent="0.35"/>
  <cols>
    <col min="1" max="1" width="1.453125" customWidth="1"/>
    <col min="2" max="2" width="23.08984375" bestFit="1" customWidth="1"/>
    <col min="3" max="3" width="20.26953125" bestFit="1" customWidth="1"/>
    <col min="4" max="4" width="10.81640625" bestFit="1" customWidth="1"/>
    <col min="5" max="5" width="11.81640625" bestFit="1" customWidth="1"/>
    <col min="6" max="6" width="16" bestFit="1" customWidth="1"/>
    <col min="7" max="7" width="15.1796875" bestFit="1" customWidth="1"/>
    <col min="8" max="8" width="20.7265625" bestFit="1" customWidth="1"/>
    <col min="9" max="9" width="1.54296875" customWidth="1"/>
  </cols>
  <sheetData>
    <row r="1" spans="2:14" x14ac:dyDescent="0.35">
      <c r="B1" s="84" t="s">
        <v>69</v>
      </c>
      <c r="C1" s="84" t="s">
        <v>107</v>
      </c>
      <c r="D1" s="85" t="s">
        <v>142</v>
      </c>
      <c r="E1" s="85"/>
      <c r="F1" s="85"/>
      <c r="G1" s="85"/>
      <c r="H1" s="85"/>
    </row>
    <row r="2" spans="2:14" x14ac:dyDescent="0.35">
      <c r="B2" s="84"/>
      <c r="C2" s="84"/>
      <c r="D2" s="32" t="s">
        <v>143</v>
      </c>
      <c r="E2" s="40" t="s">
        <v>146</v>
      </c>
      <c r="F2" s="40" t="s">
        <v>147</v>
      </c>
      <c r="G2" s="40" t="s">
        <v>148</v>
      </c>
      <c r="H2" s="40" t="s">
        <v>149</v>
      </c>
      <c r="J2" s="14"/>
      <c r="K2" s="14"/>
      <c r="L2" s="14"/>
      <c r="M2" s="14"/>
      <c r="N2" s="34"/>
    </row>
    <row r="3" spans="2:14" x14ac:dyDescent="0.35">
      <c r="B3" s="8" t="str">
        <f>'Base de Dados'!A3</f>
        <v>ID10_L010_G088_repetido</v>
      </c>
      <c r="C3" s="8" t="str">
        <f>'Base de Dados'!B3</f>
        <v>Estratificado</v>
      </c>
      <c r="D3" s="8">
        <v>1.7</v>
      </c>
      <c r="E3" s="65">
        <v>0</v>
      </c>
      <c r="F3" s="21">
        <f>'Base de Dados'!BA3/D3</f>
        <v>57.31156095725494</v>
      </c>
      <c r="G3" s="8">
        <f>9.81*SIN(E3*PI()/180)*'Base de Dados'!AZ3*('Base de Dados'!AI3-'Base de Dados'!AG3)</f>
        <v>0</v>
      </c>
      <c r="H3" s="21">
        <f>+F3+G3</f>
        <v>57.31156095725494</v>
      </c>
      <c r="J3">
        <f t="shared" ref="J3:J8" si="0">F3*D3</f>
        <v>97.429653627333394</v>
      </c>
      <c r="K3" s="34"/>
      <c r="L3" s="34"/>
      <c r="M3" s="34"/>
      <c r="N3" s="34"/>
    </row>
    <row r="4" spans="2:14" x14ac:dyDescent="0.35">
      <c r="B4" s="8" t="str">
        <f>'Base de Dados'!A4</f>
        <v>ID11_L025_G058_repetido</v>
      </c>
      <c r="C4" s="8" t="str">
        <f>'Base de Dados'!B4</f>
        <v>Bolhas alongadas</v>
      </c>
      <c r="D4" s="8">
        <v>1.7</v>
      </c>
      <c r="E4" s="65">
        <v>0</v>
      </c>
      <c r="F4" s="21">
        <f>'Base de Dados'!BA4/D4</f>
        <v>0.37933623309950237</v>
      </c>
      <c r="G4" s="8">
        <f>9.81*SIN(E4*PI()/180)*'Base de Dados'!AZ4*('Base de Dados'!AI4-'Base de Dados'!AG4)</f>
        <v>0</v>
      </c>
      <c r="H4" s="21">
        <f t="shared" ref="H4:H17" si="1">+F4+G4</f>
        <v>0.37933623309950237</v>
      </c>
      <c r="J4">
        <f t="shared" si="0"/>
        <v>0.64487159626915402</v>
      </c>
      <c r="K4" s="34"/>
      <c r="L4" s="34"/>
      <c r="M4" s="34"/>
      <c r="N4" s="34"/>
    </row>
    <row r="5" spans="2:14" x14ac:dyDescent="0.35">
      <c r="B5" s="8" t="str">
        <f>'Base de Dados'!A5</f>
        <v>ID12_L166_G646_repetido2</v>
      </c>
      <c r="C5" s="8" t="str">
        <f>'Base de Dados'!B5</f>
        <v>Pistonado severo</v>
      </c>
      <c r="D5" s="8">
        <v>1.7</v>
      </c>
      <c r="E5" s="65">
        <v>0</v>
      </c>
      <c r="F5" s="21">
        <f>'Base de Dados'!BA5/D5</f>
        <v>1758.0286234296411</v>
      </c>
      <c r="G5" s="8">
        <f>9.81*SIN(E5*PI()/180)*'Base de Dados'!AZ5*('Base de Dados'!AI5-'Base de Dados'!AG5)</f>
        <v>0</v>
      </c>
      <c r="H5" s="21">
        <f t="shared" si="1"/>
        <v>1758.0286234296411</v>
      </c>
      <c r="J5">
        <f t="shared" si="0"/>
        <v>2988.64865983039</v>
      </c>
      <c r="K5" s="34"/>
      <c r="L5" s="14"/>
      <c r="M5" s="14"/>
      <c r="N5" s="34"/>
    </row>
    <row r="6" spans="2:14" x14ac:dyDescent="0.35">
      <c r="B6" s="8" t="str">
        <f>'Base de Dados'!A6</f>
        <v>ID13_L01_G1844</v>
      </c>
      <c r="C6" s="8" t="str">
        <f>'Base de Dados'!B6</f>
        <v>Anular</v>
      </c>
      <c r="D6" s="8">
        <v>1.7</v>
      </c>
      <c r="E6" s="65">
        <v>0</v>
      </c>
      <c r="F6" s="21">
        <f>'Base de Dados'!BA6/D6</f>
        <v>397.94963028618292</v>
      </c>
      <c r="G6" s="8">
        <f>9.81*SIN(E6*PI()/180)*'Base de Dados'!AZ6*('Base de Dados'!AI6-'Base de Dados'!AG6)</f>
        <v>0</v>
      </c>
      <c r="H6" s="21">
        <f t="shared" si="1"/>
        <v>397.94963028618292</v>
      </c>
      <c r="J6">
        <f t="shared" si="0"/>
        <v>676.51437148651098</v>
      </c>
      <c r="K6" s="34"/>
      <c r="L6" s="34"/>
      <c r="M6" s="34"/>
      <c r="N6" s="34"/>
    </row>
    <row r="7" spans="2:14" x14ac:dyDescent="0.35">
      <c r="B7" s="8" t="str">
        <f>'Base de Dados'!A7</f>
        <v>ID14_L02_G374</v>
      </c>
      <c r="C7" s="8" t="str">
        <f>'Base de Dados'!B7</f>
        <v>Pistonado</v>
      </c>
      <c r="D7" s="8">
        <v>1.7</v>
      </c>
      <c r="E7" s="65">
        <v>0</v>
      </c>
      <c r="F7" s="21">
        <f>'Base de Dados'!BA7/D7</f>
        <v>7.5041157607032352</v>
      </c>
      <c r="G7" s="8">
        <f>9.81*SIN(E7*PI()/180)*'Base de Dados'!AZ7*('Base de Dados'!AI7-'Base de Dados'!AG7)</f>
        <v>0</v>
      </c>
      <c r="H7" s="21">
        <f t="shared" si="1"/>
        <v>7.5041157607032352</v>
      </c>
      <c r="J7">
        <f t="shared" si="0"/>
        <v>12.7569967931955</v>
      </c>
      <c r="K7" s="34"/>
      <c r="L7" s="34"/>
      <c r="M7" s="34"/>
      <c r="N7" s="34"/>
    </row>
    <row r="8" spans="2:14" x14ac:dyDescent="0.35">
      <c r="B8" s="8" t="str">
        <f>'Base de Dados'!A8</f>
        <v>ID15_L117_G176_repetido</v>
      </c>
      <c r="C8" s="8" t="str">
        <f>'Base de Dados'!B8</f>
        <v>Pistonado</v>
      </c>
      <c r="D8" s="8">
        <v>1.7</v>
      </c>
      <c r="E8" s="65">
        <v>0</v>
      </c>
      <c r="F8" s="21">
        <f>'Base de Dados'!BA8/D8</f>
        <v>601.11699150005882</v>
      </c>
      <c r="G8" s="8">
        <f>9.81*SIN(E8*PI()/180)*'Base de Dados'!AZ8*('Base de Dados'!AI8-'Base de Dados'!AG8)</f>
        <v>0</v>
      </c>
      <c r="H8" s="21">
        <f t="shared" si="1"/>
        <v>601.11699150005882</v>
      </c>
      <c r="J8">
        <f t="shared" si="0"/>
        <v>1021.8988855501</v>
      </c>
      <c r="K8" s="34"/>
      <c r="L8" s="34"/>
      <c r="M8" s="34"/>
      <c r="N8" s="34"/>
    </row>
    <row r="9" spans="2:14" x14ac:dyDescent="0.35">
      <c r="B9" s="8"/>
      <c r="C9" s="8"/>
      <c r="D9" s="8"/>
      <c r="E9" s="8"/>
      <c r="F9" s="21"/>
      <c r="G9" s="8"/>
      <c r="H9" s="21"/>
    </row>
    <row r="10" spans="2:14" x14ac:dyDescent="0.35">
      <c r="B10" s="8" t="str">
        <f>'Base de Dados'!A10</f>
        <v>ID22</v>
      </c>
      <c r="C10" s="8" t="str">
        <f>'Base de Dados'!B10</f>
        <v>Bolhas</v>
      </c>
      <c r="D10" s="8">
        <v>1.7</v>
      </c>
      <c r="E10" s="8">
        <v>90</v>
      </c>
      <c r="F10" s="21">
        <v>-1446.7768796592161</v>
      </c>
      <c r="G10" s="8">
        <f>9.81*SIN(E10*PI()/180)*'Base de Dados'!AZ10*('Base de Dados'!AI10-'Base de Dados'!AG10)</f>
        <v>2514.0782180957294</v>
      </c>
      <c r="H10" s="21">
        <f t="shared" si="1"/>
        <v>1067.3013384365133</v>
      </c>
      <c r="J10">
        <f>F10*D10</f>
        <v>-2459.5206954206674</v>
      </c>
    </row>
    <row r="11" spans="2:14" x14ac:dyDescent="0.35">
      <c r="B11" s="8" t="str">
        <f>'Base de Dados'!A11</f>
        <v>ID23</v>
      </c>
      <c r="C11" s="8" t="str">
        <f>'Base de Dados'!B11</f>
        <v>Bolhas</v>
      </c>
      <c r="D11" s="8">
        <v>1.7</v>
      </c>
      <c r="E11" s="8">
        <v>90</v>
      </c>
      <c r="F11" s="21">
        <v>251.54145081640641</v>
      </c>
      <c r="G11" s="8">
        <f>9.81*SIN(E11*PI()/180)*'Base de Dados'!AZ11*('Base de Dados'!AI11-'Base de Dados'!AG11)</f>
        <v>622.363063927898</v>
      </c>
      <c r="H11" s="21">
        <f t="shared" si="1"/>
        <v>873.90451474430438</v>
      </c>
      <c r="J11">
        <f t="shared" ref="J11:J17" si="2">F11*D11</f>
        <v>427.62046638789087</v>
      </c>
    </row>
    <row r="12" spans="2:14" x14ac:dyDescent="0.35">
      <c r="B12" s="8" t="str">
        <f>'Base de Dados'!A12</f>
        <v>ID24</v>
      </c>
      <c r="C12" s="8" t="str">
        <f>'Base de Dados'!B12</f>
        <v>Bolhas</v>
      </c>
      <c r="D12" s="8">
        <v>1.7</v>
      </c>
      <c r="E12" s="8">
        <v>90</v>
      </c>
      <c r="F12" s="21">
        <v>-3059.21916113519</v>
      </c>
      <c r="G12" s="8">
        <f>9.81*SIN(E12*PI()/180)*'Base de Dados'!AZ12*('Base de Dados'!AI12-'Base de Dados'!AG12)</f>
        <v>5125.4999784609718</v>
      </c>
      <c r="H12" s="21">
        <f t="shared" si="1"/>
        <v>2066.2808173257818</v>
      </c>
      <c r="J12">
        <f t="shared" si="2"/>
        <v>-5200.6725739298226</v>
      </c>
    </row>
    <row r="13" spans="2:14" x14ac:dyDescent="0.35">
      <c r="B13" s="8" t="str">
        <f>'Base de Dados'!A13</f>
        <v>ID25 o ID29</v>
      </c>
      <c r="C13" s="8" t="str">
        <f>'Base de Dados'!B13</f>
        <v>Pistonado</v>
      </c>
      <c r="D13" s="8">
        <v>1.7</v>
      </c>
      <c r="E13" s="8">
        <v>90</v>
      </c>
      <c r="F13" s="21">
        <v>-4729.651708574781</v>
      </c>
      <c r="G13" s="8">
        <f>9.81*SIN(E13*PI()/180)*'Base de Dados'!AZ13*('Base de Dados'!AI13-'Base de Dados'!AG13)</f>
        <v>4061.39670733306</v>
      </c>
      <c r="H13" s="21">
        <f t="shared" si="1"/>
        <v>-668.25500124172095</v>
      </c>
      <c r="J13">
        <f t="shared" si="2"/>
        <v>-8040.4079045771277</v>
      </c>
    </row>
    <row r="14" spans="2:14" x14ac:dyDescent="0.35">
      <c r="B14" s="8" t="str">
        <f>'Base de Dados'!A14</f>
        <v>ID26</v>
      </c>
      <c r="C14" s="8" t="str">
        <f>'Base de Dados'!B14</f>
        <v>Pistonado</v>
      </c>
      <c r="D14" s="8">
        <v>1.7</v>
      </c>
      <c r="E14" s="8">
        <v>90</v>
      </c>
      <c r="F14" s="21">
        <v>-3476.5105072408878</v>
      </c>
      <c r="G14" s="8">
        <f>9.81*SIN(E14*PI()/180)*'Base de Dados'!AZ14*('Base de Dados'!AI14-'Base de Dados'!AG14)</f>
        <v>3486.1494360590941</v>
      </c>
      <c r="H14" s="21">
        <f t="shared" si="1"/>
        <v>9.6389288182062955</v>
      </c>
      <c r="J14">
        <f t="shared" si="2"/>
        <v>-5910.0678623095091</v>
      </c>
    </row>
    <row r="15" spans="2:14" x14ac:dyDescent="0.35">
      <c r="B15" s="8" t="str">
        <f>'Base de Dados'!A15</f>
        <v>ID27</v>
      </c>
      <c r="C15" s="8" t="str">
        <f>'Base de Dados'!B15</f>
        <v>Pistonado</v>
      </c>
      <c r="D15" s="8">
        <v>1.7</v>
      </c>
      <c r="E15" s="8">
        <v>90</v>
      </c>
      <c r="F15" s="21">
        <v>-5246.6853782447124</v>
      </c>
      <c r="G15" s="8">
        <f>9.81*SIN(E15*PI()/180)*'Base de Dados'!AZ15*('Base de Dados'!AI15-'Base de Dados'!AG15)</f>
        <v>5141.3550692073368</v>
      </c>
      <c r="H15" s="21">
        <f t="shared" si="1"/>
        <v>-105.33030903737563</v>
      </c>
      <c r="J15">
        <f t="shared" si="2"/>
        <v>-8919.3651430160116</v>
      </c>
    </row>
    <row r="16" spans="2:14" x14ac:dyDescent="0.35">
      <c r="B16" s="8" t="str">
        <f>'Base de Dados'!A16</f>
        <v>ID28</v>
      </c>
      <c r="C16" s="8" t="str">
        <f>'Base de Dados'!B16</f>
        <v>Pistonado</v>
      </c>
      <c r="D16" s="8">
        <v>1.7</v>
      </c>
      <c r="E16" s="8">
        <v>90</v>
      </c>
      <c r="F16" s="21">
        <v>-2749.9027906223469</v>
      </c>
      <c r="G16" s="8">
        <f>9.81*SIN(E16*PI()/180)*'Base de Dados'!AZ16*('Base de Dados'!AI16-'Base de Dados'!AG16)</f>
        <v>2517.4555434603167</v>
      </c>
      <c r="H16" s="21">
        <f t="shared" si="1"/>
        <v>-232.44724716203018</v>
      </c>
      <c r="J16">
        <f t="shared" si="2"/>
        <v>-4674.8347440579892</v>
      </c>
    </row>
    <row r="17" spans="2:10" x14ac:dyDescent="0.35">
      <c r="B17" s="8" t="str">
        <f>'Base de Dados'!A17</f>
        <v>ID30</v>
      </c>
      <c r="C17" s="8" t="str">
        <f>'Base de Dados'!B17</f>
        <v>Pistonado</v>
      </c>
      <c r="D17" s="8">
        <v>1.7</v>
      </c>
      <c r="E17" s="8">
        <v>90</v>
      </c>
      <c r="F17" s="21">
        <v>-4696.125741872941</v>
      </c>
      <c r="G17" s="8">
        <f>9.81*SIN(E17*PI()/180)*'Base de Dados'!AZ17*('Base de Dados'!AI17-'Base de Dados'!AG17)</f>
        <v>4146.2314538985938</v>
      </c>
      <c r="H17" s="21">
        <f t="shared" si="1"/>
        <v>-549.89428797434721</v>
      </c>
      <c r="J17">
        <f t="shared" si="2"/>
        <v>-7983.4137611839997</v>
      </c>
    </row>
  </sheetData>
  <mergeCells count="3">
    <mergeCell ref="B1:B2"/>
    <mergeCell ref="D1:H1"/>
    <mergeCell ref="C1:C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E74B-35B0-4F7C-A548-DAF655038CC3}">
  <sheetPr codeName="Planilha3"/>
  <dimension ref="B1:AB37"/>
  <sheetViews>
    <sheetView zoomScaleNormal="100" workbookViewId="0">
      <selection activeCell="AB24" sqref="AB24"/>
    </sheetView>
  </sheetViews>
  <sheetFormatPr defaultRowHeight="14.5" x14ac:dyDescent="0.35"/>
  <cols>
    <col min="1" max="1" width="3" customWidth="1"/>
    <col min="2" max="3" width="12" bestFit="1" customWidth="1"/>
    <col min="4" max="4" width="8.36328125" bestFit="1" customWidth="1"/>
    <col min="5" max="14" width="12" bestFit="1" customWidth="1"/>
    <col min="15" max="15" width="12.36328125" bestFit="1" customWidth="1"/>
    <col min="16" max="16" width="16" bestFit="1" customWidth="1"/>
    <col min="17" max="17" width="14.54296875" bestFit="1" customWidth="1"/>
    <col min="18" max="18" width="12" bestFit="1" customWidth="1"/>
    <col min="19" max="19" width="19.36328125" bestFit="1" customWidth="1"/>
    <col min="20" max="20" width="16.81640625" bestFit="1" customWidth="1"/>
    <col min="21" max="21" width="12" bestFit="1" customWidth="1"/>
    <col min="22" max="22" width="4" bestFit="1" customWidth="1"/>
    <col min="23" max="25" width="12" bestFit="1" customWidth="1"/>
    <col min="26" max="26" width="19.6328125" bestFit="1" customWidth="1"/>
    <col min="28" max="28" width="26.453125" bestFit="1" customWidth="1"/>
  </cols>
  <sheetData>
    <row r="1" spans="2:28" x14ac:dyDescent="0.35"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91</v>
      </c>
      <c r="Q1" t="s">
        <v>113</v>
      </c>
      <c r="S1" t="s">
        <v>90</v>
      </c>
      <c r="T1" t="s">
        <v>89</v>
      </c>
      <c r="Z1" t="s">
        <v>88</v>
      </c>
    </row>
    <row r="2" spans="2:28" x14ac:dyDescent="0.35">
      <c r="B2" s="1" t="s">
        <v>40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1" t="s">
        <v>46</v>
      </c>
      <c r="I2" s="1" t="s">
        <v>47</v>
      </c>
      <c r="J2" s="10" t="s">
        <v>48</v>
      </c>
      <c r="K2" s="10" t="s">
        <v>49</v>
      </c>
      <c r="L2" s="10" t="s">
        <v>50</v>
      </c>
      <c r="M2" s="10" t="s">
        <v>52</v>
      </c>
      <c r="N2" s="10" t="s">
        <v>53</v>
      </c>
      <c r="O2" s="10" t="s">
        <v>54</v>
      </c>
      <c r="P2" s="10" t="s">
        <v>55</v>
      </c>
      <c r="Q2" s="10" t="s">
        <v>59</v>
      </c>
      <c r="R2" s="1" t="s">
        <v>60</v>
      </c>
      <c r="S2" s="10" t="s">
        <v>61</v>
      </c>
      <c r="T2" s="10" t="s">
        <v>62</v>
      </c>
      <c r="U2" s="1" t="s">
        <v>63</v>
      </c>
      <c r="V2" s="1" t="s">
        <v>64</v>
      </c>
      <c r="W2" s="1" t="s">
        <v>65</v>
      </c>
      <c r="X2" s="1" t="s">
        <v>66</v>
      </c>
      <c r="Y2" s="1" t="s">
        <v>67</v>
      </c>
      <c r="Z2" s="10" t="s">
        <v>68</v>
      </c>
      <c r="AB2" s="19" t="s">
        <v>98</v>
      </c>
    </row>
    <row r="3" spans="2:28" x14ac:dyDescent="0.35">
      <c r="B3" s="8">
        <f>1+0.12*(1-'Base de Dados'!AQ3)</f>
        <v>1.1184309783314694</v>
      </c>
      <c r="C3" s="8">
        <f>1.18*(1-'Base de Dados'!AQ3)*(9.81*'Base de Dados'!AT3*('Base de Dados'!AI3-'Base de Dados'!AG3)/'Base de Dados'!AI3^2)^0.25</f>
        <v>0.19191049874331953</v>
      </c>
      <c r="D3" s="8">
        <f>+IF(('Base de Dados'!AF3/3600)&gt;=200,1.1,1.54)</f>
        <v>1.54</v>
      </c>
      <c r="E3" s="8">
        <f>1.18*(9.81*'Base de Dados'!AT3*('Base de Dados'!AI3-'Base de Dados'!AG3)/'Base de Dados'!AI3^2)^0.25</f>
        <v>0.19445300692140807</v>
      </c>
      <c r="F3" s="8">
        <f>+((1-'Base de Dados'!AQ3)/'Base de Dados'!AQ3)^0.99*('Base de Dados'!AG3/'Base de Dados'!AI3)^0.5*('Base de Dados'!AJ3/'Base de Dados'!AH3)^0.1</f>
        <v>4.096820399426254</v>
      </c>
      <c r="G3" s="8">
        <f>0.3487+0.6513*('Base de Dados'!AG3/'Base de Dados'!AI3)^0.515</f>
        <v>0.37160191711626239</v>
      </c>
      <c r="H3" s="8">
        <f>-2.129+3.129*('Base de Dados'!AG3/'Base de Dados'!AI3)^(-0.2186)</f>
        <v>10.8290792188983</v>
      </c>
      <c r="I3" s="8">
        <f>+('Base de Dados'!AF3/3600)^2/(('Base de Dados'!AI3-'Base de Dados'!AG3)^2*9.81*'Base de Dados'!AD3)</f>
        <v>1.9694359495294977E-2</v>
      </c>
      <c r="J3" s="8"/>
      <c r="K3" s="27"/>
      <c r="L3" s="26">
        <f>+'Base de Dados'!AR3/(B3+(C3/'Base de Dados'!AP3))</f>
        <v>0.68354299849003919</v>
      </c>
      <c r="M3" s="8"/>
      <c r="N3" s="27"/>
      <c r="O3" s="8"/>
      <c r="P3" s="8"/>
      <c r="Q3" s="8"/>
      <c r="R3" s="8">
        <f>+'Base de Dados'!AP3^2/(9.81*'Base de Dados'!AD3)</f>
        <v>1.8429053216721043</v>
      </c>
      <c r="S3" s="26">
        <f>0.81*'Base de Dados'!AR3*(1-EXP(-2.2*SQRT(R3)))</f>
        <v>0.69077587497765225</v>
      </c>
      <c r="T3" s="8"/>
      <c r="U3" s="8">
        <f>+('Base de Dados'!AF3/3600)*'Base de Dados'!AD3/((1-'Base de Dados'!AZ3)*'Base de Dados'!AJ3+'Base de Dados'!AZ3*'Base de Dados'!AH3)</f>
        <v>17901.492020952377</v>
      </c>
      <c r="V3" s="8">
        <f>+IF(U3&gt;=1500,0.2,1)</f>
        <v>0.2</v>
      </c>
      <c r="W3" s="8">
        <f>+('Base de Dados'!AN3*'Base de Dados'!AG3*'Base de Dados'!AJ3/('Base de Dados'!AO3*'Base de Dados'!AI3*'Base de Dados'!AH3))^V3*('Base de Dados'!AI3*'Base de Dados'!AO3^2/('Base de Dados'!AG3*'Base de Dados'!AN3^2))</f>
        <v>7.7069635154426042</v>
      </c>
      <c r="X3" s="8">
        <f>+LN(W3)</f>
        <v>2.0421242728340352</v>
      </c>
      <c r="Y3" s="8">
        <f>+IF(U3&gt;=3000,EXP(-0.9304919+0.5285852*X3-0.09219634*X3^2+0.000902418*X3^4),EXP(-1.1+0.6788495*X3-0.001232191*X3^2-0.001778653*X3^3+0.001626819*X3^4))</f>
        <v>0.80264327345423647</v>
      </c>
      <c r="Z3" s="8"/>
      <c r="AB3" s="18" t="s">
        <v>93</v>
      </c>
    </row>
    <row r="4" spans="2:28" x14ac:dyDescent="0.35">
      <c r="B4" s="8">
        <f>1+0.12*(1-'Base de Dados'!AQ4)</f>
        <v>1.1195463613507606</v>
      </c>
      <c r="C4" s="8">
        <f>1.18*(1-'Base de Dados'!AQ4)*(9.81*'Base de Dados'!AT4*('Base de Dados'!AI4-'Base de Dados'!AG4)/'Base de Dados'!AI4^2)^0.25</f>
        <v>0.19371163094956079</v>
      </c>
      <c r="D4" s="8">
        <f>+IF(('Base de Dados'!AF4/3600)&gt;=200,1.1,1.54)</f>
        <v>1.1000000000000001</v>
      </c>
      <c r="E4" s="8">
        <f>1.18*(9.81*'Base de Dados'!AT4*('Base de Dados'!AI4-'Base de Dados'!AG4)/'Base de Dados'!AI4^2)^0.25</f>
        <v>0.19444670211034723</v>
      </c>
      <c r="F4" s="8">
        <f>+((1-'Base de Dados'!AQ4)/'Base de Dados'!AQ4)^0.99*('Base de Dados'!AG4/'Base de Dados'!AI4)^0.5*('Base de Dados'!AJ4/'Base de Dados'!AH4)^0.1</f>
        <v>14.718723562213983</v>
      </c>
      <c r="G4" s="8">
        <f>0.3487+0.6513*('Base de Dados'!AG4/'Base de Dados'!AI4)^0.515</f>
        <v>0.37259789728483172</v>
      </c>
      <c r="H4" s="8">
        <f>-2.129+3.129*('Base de Dados'!AG4/'Base de Dados'!AI4)^(-0.2186)</f>
        <v>10.597036540570169</v>
      </c>
      <c r="I4" s="8">
        <f>+('Base de Dados'!AF4/3600)^2/(('Base de Dados'!AI4-'Base de Dados'!AG4)^2*9.81*'Base de Dados'!AD4)</f>
        <v>0.12083491483224539</v>
      </c>
      <c r="J4" s="8"/>
      <c r="K4" s="8"/>
      <c r="L4" s="26">
        <f>+'Base de Dados'!AR4/(B4+(C4/'Base de Dados'!AP4))</f>
        <v>0.51696079424769525</v>
      </c>
      <c r="M4" s="26">
        <f>+('Base de Dados'!AQ4/'Base de Dados'!AG4)*(D4*(('Base de Dados'!AQ4/'Base de Dados'!AG4)+((1-'Base de Dados'!AQ4)/'Base de Dados'!AI4))+(C4/('Base de Dados'!AF4/3600)))^(-1)</f>
        <v>0.5245409587252049</v>
      </c>
      <c r="N4" s="27"/>
      <c r="O4" s="8"/>
      <c r="P4" s="8"/>
      <c r="Q4" s="8"/>
      <c r="R4" s="8">
        <f>+'Base de Dados'!AP4^2/(9.81*'Base de Dados'!AD4)</f>
        <v>1.3214007569377251</v>
      </c>
      <c r="S4" s="26">
        <f>0.81*'Base de Dados'!AR4*(1-EXP(-2.2*SQRT(R4)))</f>
        <v>0.52121695173577309</v>
      </c>
      <c r="T4" s="8"/>
      <c r="U4" s="8">
        <f>+('Base de Dados'!AF4/3600)*'Base de Dados'!AD4/((1-'Base de Dados'!AZ4)*'Base de Dados'!AJ4+'Base de Dados'!AZ4*'Base de Dados'!AH4)</f>
        <v>31802.651353430028</v>
      </c>
      <c r="V4" s="8">
        <f t="shared" ref="V4:V8" si="0">+IF(U4&gt;=1500,0.2,1)</f>
        <v>0.2</v>
      </c>
      <c r="W4" s="8">
        <f>+('Base de Dados'!AN4*'Base de Dados'!AG4*'Base de Dados'!AJ4/('Base de Dados'!AO4*'Base de Dados'!AI4*'Base de Dados'!AH4))^V4*('Base de Dados'!AI4*'Base de Dados'!AO4^2/('Base de Dados'!AG4*'Base de Dados'!AN4^2))</f>
        <v>79.43127999715918</v>
      </c>
      <c r="X4" s="8">
        <f t="shared" ref="X4:X8" si="1">+LN(W4)</f>
        <v>4.374892245297513</v>
      </c>
      <c r="Y4" s="8">
        <f t="shared" ref="Y4:Y8" si="2">+IF(U4&gt;=3000,EXP(-0.9304919+0.5285852*X4-0.09219634*X4^2+0.000902418*X4^4),EXP(-1.1+0.6788495*X4-0.001232191*X4^2-0.001778653*X4^3+0.001626819*X4^4))</f>
        <v>0.9493129355880443</v>
      </c>
      <c r="Z4" s="8"/>
      <c r="AB4" s="18" t="s">
        <v>92</v>
      </c>
    </row>
    <row r="5" spans="2:28" x14ac:dyDescent="0.35">
      <c r="B5" s="8">
        <f>1+0.12*(1-'Base de Dados'!AQ5)</f>
        <v>1.1168384416173951</v>
      </c>
      <c r="C5" s="8">
        <f>1.18*(1-'Base de Dados'!AQ5)*(9.81*'Base de Dados'!AT5*('Base de Dados'!AI5-'Base de Dados'!AG5)/'Base de Dados'!AI5^2)^0.25</f>
        <v>0.18906174028228576</v>
      </c>
      <c r="D5" s="8">
        <f>+IF(('Base de Dados'!AF5/3600)&gt;=200,1.1,1.54)</f>
        <v>1.1000000000000001</v>
      </c>
      <c r="E5" s="8">
        <f>1.18*(9.81*'Base de Dados'!AT5*('Base de Dados'!AI5-'Base de Dados'!AG5)/'Base de Dados'!AI5^2)^0.25</f>
        <v>0.19417760558778754</v>
      </c>
      <c r="F5" s="8">
        <f>+((1-'Base de Dados'!AQ5)/'Base de Dados'!AQ5)^0.99*('Base de Dados'!AG5/'Base de Dados'!AI5)^0.5*('Base de Dados'!AJ5/'Base de Dados'!AH5)^0.1</f>
        <v>4.3416596603667639</v>
      </c>
      <c r="G5" s="8">
        <f>0.3487+0.6513*('Base de Dados'!AG5/'Base de Dados'!AI5)^0.515</f>
        <v>0.3990894123697788</v>
      </c>
      <c r="H5" s="8">
        <f>-2.129+3.129*('Base de Dados'!AG5/'Base de Dados'!AI5)^(-0.2186)</f>
        <v>7.1430301081540009</v>
      </c>
      <c r="I5" s="8">
        <f>+('Base de Dados'!AF5/3600)^2/(('Base de Dados'!AI5-'Base de Dados'!AG5)^2*9.81*'Base de Dados'!AD5)</f>
        <v>5.6383773660276333</v>
      </c>
      <c r="J5" s="8"/>
      <c r="K5" s="8"/>
      <c r="L5" s="26">
        <f>+'Base de Dados'!AR5/(B5+(C5/'Base de Dados'!AP5))</f>
        <v>0.69790929192921136</v>
      </c>
      <c r="M5" s="26">
        <f>+('Base de Dados'!AQ5/'Base de Dados'!AG5)*(D5*(('Base de Dados'!AQ5/'Base de Dados'!AG5)+((1-'Base de Dados'!AQ5)/'Base de Dados'!AI5))+(C5/('Base de Dados'!AF5/3600)))^(-1)</f>
        <v>0.70837136767514219</v>
      </c>
      <c r="N5" s="26">
        <f>+'Base de Dados'!AN5*(('Base de Dados'!AN5*(1+('Base de Dados'!AO5/'Base de Dados'!AN5)^(('Base de Dados'!AG5/'Base de Dados'!AI5)^0.1)))+(2.9*(9.81*'Base de Dados'!AD5*'Base de Dados'!AT5*(1+COS(0*PI()/180))*('Base de Dados'!AI5-'Base de Dados'!AG5)/'Base de Dados'!AI5^2)^0.25*(1.22+1.22*SIN(0*PI()/180))^(1/(1+'Base de Dados'!I5))))^(-1)</f>
        <v>0.67526935727817916</v>
      </c>
      <c r="O5" s="26">
        <f>+(H5*'Base de Dados'!AQ5^G5)/((1+(H5-1)*'Base de Dados'!AQ5^G5))</f>
        <v>0.68607006727037245</v>
      </c>
      <c r="P5" s="26">
        <f>+(1+1.021*I5^(-0.092)*('Base de Dados'!AJ5/'Base de Dados'!AH5)^(-0.368)*('Base de Dados'!AG5/'Base de Dados'!AI5)^(1/3)*((1-'Base de Dados'!AQ5)/'Base de Dados'!AQ5)^(2/3))^(-1)</f>
        <v>0.68654736505573477</v>
      </c>
      <c r="Q5" s="26">
        <f>+'Base de Dados'!AN5/(1.08*'Base de Dados'!AP5+0.45)</f>
        <v>0.70081424035876583</v>
      </c>
      <c r="R5" s="8">
        <f>+'Base de Dados'!AP5^2/(9.81*'Base de Dados'!AD5)</f>
        <v>126.27831370388837</v>
      </c>
      <c r="S5" s="8"/>
      <c r="T5" s="26">
        <f>+'Base de Dados'!AN5/(1.2*'Base de Dados'!AP5)</f>
        <v>0.66307517511166436</v>
      </c>
      <c r="U5" s="8">
        <f>+('Base de Dados'!AF5/3600)*'Base de Dados'!AD5/((1-'Base de Dados'!AZ5)*'Base de Dados'!AJ5+'Base de Dados'!AZ5*'Base de Dados'!AH5)</f>
        <v>356968.07275857637</v>
      </c>
      <c r="V5" s="8">
        <f t="shared" si="0"/>
        <v>0.2</v>
      </c>
      <c r="W5" s="8">
        <f>+('Base de Dados'!AN5*'Base de Dados'!AG5*'Base de Dados'!AJ5/('Base de Dados'!AO5*'Base de Dados'!AI5*'Base de Dados'!AH5))^V5*('Base de Dados'!AI5*'Base de Dados'!AO5^2/('Base de Dados'!AG5*'Base de Dados'!AN5^2))</f>
        <v>9.8430192371379999</v>
      </c>
      <c r="X5" s="8">
        <f t="shared" si="1"/>
        <v>2.2867624970430107</v>
      </c>
      <c r="Y5" s="8">
        <f t="shared" si="2"/>
        <v>0.8359496989555546</v>
      </c>
      <c r="Z5" s="26">
        <f>1-0.528*('Base de Dados'!AN5*'Base de Dados'!AO5)^(-0.216121)*Y5</f>
        <v>0.73573139074017702</v>
      </c>
      <c r="AB5" s="18" t="s">
        <v>94</v>
      </c>
    </row>
    <row r="6" spans="2:28" x14ac:dyDescent="0.35">
      <c r="B6" s="8">
        <f>1+0.12*(1-'Base de Dados'!AQ6)</f>
        <v>1.0856055100901838</v>
      </c>
      <c r="C6" s="8">
        <f>1.18*(1-'Base de Dados'!AQ6)*(9.81*'Base de Dados'!AT6*('Base de Dados'!AI6-'Base de Dados'!AG6)/'Base de Dados'!AI6^2)^0.25</f>
        <v>0.13867107484627214</v>
      </c>
      <c r="D6" s="8">
        <f>+IF(('Base de Dados'!AF6/3600)&gt;=200,1.1,1.54)</f>
        <v>1.54</v>
      </c>
      <c r="E6" s="8">
        <f>1.18*(9.81*'Base de Dados'!AT6*('Base de Dados'!AI6-'Base de Dados'!AG6)/'Base de Dados'!AI6^2)^0.25</f>
        <v>0.19438619037515426</v>
      </c>
      <c r="F6" s="8">
        <f>+((1-'Base de Dados'!AQ6)/'Base de Dados'!AQ6)^0.99*('Base de Dados'!AG6/'Base de Dados'!AI6)^0.5*('Base de Dados'!AJ6/'Base de Dados'!AH6)^0.1</f>
        <v>0.16904440883720073</v>
      </c>
      <c r="G6" s="8">
        <f>0.3487+0.6513*('Base de Dados'!AG6/'Base de Dados'!AI6)^0.515</f>
        <v>0.37639764505995182</v>
      </c>
      <c r="H6" s="8">
        <f>-2.129+3.129*('Base de Dados'!AG6/'Base de Dados'!AI6)^(-0.2186)</f>
        <v>9.8244162761775904</v>
      </c>
      <c r="I6" s="8">
        <f>+('Base de Dados'!AF6/3600)^2/(('Base de Dados'!AI6-'Base de Dados'!AG6)^2*9.81*'Base de Dados'!AD6)</f>
        <v>3.7691451293967559E-2</v>
      </c>
      <c r="J6" s="26">
        <f>+(1+((1-'Base de Dados'!AQ6)/'Base de Dados'!AQ6)*('Base de Dados'!AG6/'Base de Dados'!AI6)^(2/3))^(-1)</f>
        <v>0.95990892044593312</v>
      </c>
      <c r="K6" s="26">
        <f t="shared" ref="K6" si="3">+(1+F6^0.8)^(-0.378)</f>
        <v>0.92156526490335489</v>
      </c>
      <c r="L6" s="26">
        <f>+'Base de Dados'!AR6/(B6+(C6/'Base de Dados'!AP6))</f>
        <v>0.90992910433791985</v>
      </c>
      <c r="M6" s="8"/>
      <c r="N6" s="26">
        <f>+'Base de Dados'!AN6*(('Base de Dados'!AN6*(1+('Base de Dados'!AO6/'Base de Dados'!AN6)^(('Base de Dados'!AG6/'Base de Dados'!AI6)^0.1)))+(2.9*(9.81*'Base de Dados'!AD6*'Base de Dados'!AT6*(1+COS(0*PI()/180))*('Base de Dados'!AI6-'Base de Dados'!AG6)/'Base de Dados'!AI6^2)^0.25*(1.22+1.22*SIN(0*PI()/180))^(1/(1+'Base de Dados'!I6))))^(-1)</f>
        <v>0.92968798540050812</v>
      </c>
      <c r="O6" s="26">
        <f>+(H6*'Base de Dados'!AQ6^G6)/((1+(H6-1)*'Base de Dados'!AQ6^G6))</f>
        <v>0.94239347032403231</v>
      </c>
      <c r="P6" s="26">
        <f>+(1+1.021*I6^(-0.092)*('Base de Dados'!AJ6/'Base de Dados'!AH6)^(-0.368)*('Base de Dados'!AG6/'Base de Dados'!AI6)^(1/3)*((1-'Base de Dados'!AQ6)/'Base de Dados'!AQ6)^(2/3))^(-1)</f>
        <v>0.92631900942537726</v>
      </c>
      <c r="Q6" s="26">
        <f>+'Base de Dados'!AN6/(1.08*'Base de Dados'!AP6+0.45)</f>
        <v>0.90073333285967894</v>
      </c>
      <c r="R6" s="8">
        <f>+'Base de Dados'!AP6^2/(9.81*'Base de Dados'!AD6)</f>
        <v>659.53825417002395</v>
      </c>
      <c r="S6" s="8"/>
      <c r="T6" s="8"/>
      <c r="U6" s="8">
        <f>+('Base de Dados'!AF6/3600)*'Base de Dados'!AD6/((1-'Base de Dados'!AZ6)*'Base de Dados'!AJ6+'Base de Dados'!AZ6*'Base de Dados'!AH6)</f>
        <v>86391.147834244082</v>
      </c>
      <c r="V6" s="8">
        <f t="shared" si="0"/>
        <v>0.2</v>
      </c>
      <c r="W6" s="8">
        <f>+('Base de Dados'!AN6*'Base de Dados'!AG6*'Base de Dados'!AJ6/('Base de Dados'!AO6*'Base de Dados'!AI6*'Base de Dados'!AH6))^V6*('Base de Dados'!AI6*'Base de Dados'!AO6^2/('Base de Dados'!AG6*'Base de Dados'!AN6^2))</f>
        <v>2.4250422511220986E-2</v>
      </c>
      <c r="X6" s="8">
        <f t="shared" si="1"/>
        <v>-3.7193212386072925</v>
      </c>
      <c r="Y6" s="8">
        <f t="shared" si="2"/>
        <v>1.8330916737416336E-2</v>
      </c>
      <c r="Z6" s="8"/>
      <c r="AB6" s="18" t="s">
        <v>89</v>
      </c>
    </row>
    <row r="7" spans="2:28" x14ac:dyDescent="0.35">
      <c r="B7" s="8">
        <f>1+0.12*(1-'Base de Dados'!AQ7)</f>
        <v>1.1166613695631131</v>
      </c>
      <c r="C7" s="8">
        <f>1.18*(1-'Base de Dados'!AQ7)*(9.81*'Base de Dados'!AT7*('Base de Dados'!AI7-'Base de Dados'!AG7)/'Base de Dados'!AI7^2)^0.25</f>
        <v>0.18904181055112765</v>
      </c>
      <c r="D7" s="8">
        <f>+IF(('Base de Dados'!AF7/3600)&gt;=200,1.1,1.54)</f>
        <v>1.1000000000000001</v>
      </c>
      <c r="E7" s="8">
        <f>1.18*(9.81*'Base de Dados'!AT7*('Base de Dados'!AI7-'Base de Dados'!AG7)/'Base de Dados'!AI7^2)^0.25</f>
        <v>0.194451833979738</v>
      </c>
      <c r="F7" s="8">
        <f>+((1-'Base de Dados'!AQ7)/'Base de Dados'!AQ7)^0.99*('Base de Dados'!AG7/'Base de Dados'!AI7)^0.5*('Base de Dados'!AJ7/'Base de Dados'!AH7)^0.1</f>
        <v>1.9268423404802619</v>
      </c>
      <c r="G7" s="8">
        <f>0.3487+0.6513*('Base de Dados'!AG7/'Base de Dados'!AI7)^0.515</f>
        <v>0.37179027773037249</v>
      </c>
      <c r="H7" s="8">
        <f>-2.129+3.129*('Base de Dados'!AG7/'Base de Dados'!AI7)^(-0.2186)</f>
        <v>10.784104631926402</v>
      </c>
      <c r="I7" s="8">
        <f>+('Base de Dados'!AF7/3600)^2/(('Base de Dados'!AI7-'Base de Dados'!AG7)^2*9.81*'Base de Dados'!AD7)</f>
        <v>8.1189394499457598E-2</v>
      </c>
      <c r="J7" s="8"/>
      <c r="K7" s="8"/>
      <c r="L7" s="8"/>
      <c r="M7" s="8"/>
      <c r="N7" s="26">
        <f>+'Base de Dados'!AN7*(('Base de Dados'!AN7*(1+('Base de Dados'!AO7/'Base de Dados'!AN7)^(('Base de Dados'!AG7/'Base de Dados'!AI7)^0.1)))+(2.9*(9.81*'Base de Dados'!AD7*'Base de Dados'!AT7*(1+COS(0*PI()/180))*('Base de Dados'!AI7-'Base de Dados'!AG7)/'Base de Dados'!AI7^2)^0.25*(1.22+1.22*SIN(0*PI()/180))^(1/(1+'Base de Dados'!I7))))^(-1)</f>
        <v>0.76879021718995755</v>
      </c>
      <c r="O7" s="26">
        <f>+(H7*'Base de Dados'!AQ7^G7)/((1+(H7-1)*'Base de Dados'!AQ7^G7))</f>
        <v>0.79460327611657522</v>
      </c>
      <c r="P7" s="26">
        <f>+(1+1.021*I7^(-0.092)*('Base de Dados'!AJ7/'Base de Dados'!AH7)^(-0.368)*('Base de Dados'!AG7/'Base de Dados'!AI7)^(1/3)*((1-'Base de Dados'!AQ7)/'Base de Dados'!AQ7)^(2/3))^(-1)</f>
        <v>0.71889216994805827</v>
      </c>
      <c r="Q7" s="26">
        <f>+'Base de Dados'!AN7/(1.08*'Base de Dados'!AP7+0.45)</f>
        <v>0.79512850000859281</v>
      </c>
      <c r="R7" s="8">
        <f>+'Base de Dados'!AP7^2/(9.81*'Base de Dados'!AD7)</f>
        <v>29.821335097601942</v>
      </c>
      <c r="S7" s="26">
        <f>0.81*'Base de Dados'!AR7*(1-EXP(-2.2*SQRT(R7)))</f>
        <v>0.76896988967832047</v>
      </c>
      <c r="T7" s="26">
        <f>+'Base de Dados'!AN7/(1.2*'Base de Dados'!AP7)</f>
        <v>0.79112607913255784</v>
      </c>
      <c r="U7" s="8">
        <f>+('Base de Dados'!AF7/3600)*'Base de Dados'!AD7/((1-'Base de Dados'!AZ7)*'Base de Dados'!AJ7+'Base de Dados'!AZ7*'Base de Dados'!AH7)</f>
        <v>49717.728555972739</v>
      </c>
      <c r="V7" s="8">
        <f t="shared" si="0"/>
        <v>0.2</v>
      </c>
      <c r="W7" s="8">
        <f>+('Base de Dados'!AN7*'Base de Dados'!AG7*'Base de Dados'!AJ7/('Base de Dados'!AO7*'Base de Dados'!AI7*'Base de Dados'!AH7))^V7*('Base de Dados'!AI7*'Base de Dados'!AO7^2/('Base de Dados'!AG7*'Base de Dados'!AN7^2))</f>
        <v>1.9583386346674598</v>
      </c>
      <c r="X7" s="8">
        <f t="shared" si="1"/>
        <v>0.67209647842268372</v>
      </c>
      <c r="Y7" s="8">
        <f t="shared" si="2"/>
        <v>0.53972589933622472</v>
      </c>
      <c r="Z7" s="8"/>
      <c r="AB7" s="18" t="s">
        <v>90</v>
      </c>
    </row>
    <row r="8" spans="2:28" x14ac:dyDescent="0.35">
      <c r="B8" s="8">
        <f>1+0.12*(1-'Base de Dados'!AQ8)</f>
        <v>1.119573730254428</v>
      </c>
      <c r="C8" s="8">
        <f>1.18*(1-'Base de Dados'!AQ8)*(9.81*'Base de Dados'!AT8*('Base de Dados'!AI8-'Base de Dados'!AG8)/'Base de Dados'!AI8^2)^0.25</f>
        <v>0.19373011718945743</v>
      </c>
      <c r="D8" s="8">
        <f>+IF(('Base de Dados'!AF8/3600)&gt;=200,1.1,1.54)</f>
        <v>1.1000000000000001</v>
      </c>
      <c r="E8" s="8">
        <f>1.18*(9.81*'Base de Dados'!AT8*('Base de Dados'!AI8-'Base de Dados'!AG8)/'Base de Dados'!AI8^2)^0.25</f>
        <v>0.19442074787889288</v>
      </c>
      <c r="F8" s="8">
        <f>+((1-'Base de Dados'!AQ8)/'Base de Dados'!AQ8)^0.99*('Base de Dados'!AG8/'Base de Dados'!AI8)^0.5*('Base de Dados'!AJ8/'Base de Dados'!AH8)^0.1</f>
        <v>18.820300621229197</v>
      </c>
      <c r="G8" s="8">
        <f>0.3487+0.6513*('Base de Dados'!AG8/'Base de Dados'!AI8)^0.515</f>
        <v>0.37762995720647924</v>
      </c>
      <c r="H8" s="8">
        <f>-2.129+3.129*('Base de Dados'!AG8/'Base de Dados'!AI8)^(-0.2186)</f>
        <v>9.6055796456318632</v>
      </c>
      <c r="I8" s="8">
        <f>+('Base de Dados'!AF8/3600)^2/(('Base de Dados'!AI8-'Base de Dados'!AG8)^2*9.81*'Base de Dados'!AD8)</f>
        <v>2.64978535105727</v>
      </c>
      <c r="J8" s="8"/>
      <c r="K8" s="8"/>
      <c r="L8" s="26">
        <f>+'Base de Dados'!AR8/(B8+(C8/'Base de Dados'!AP8))</f>
        <v>0.50701848511722125</v>
      </c>
      <c r="M8" s="8"/>
      <c r="N8" s="26">
        <f>+'Base de Dados'!AN8*(('Base de Dados'!AN8*(1+('Base de Dados'!AO8/'Base de Dados'!AN8)^(('Base de Dados'!AG8/'Base de Dados'!AI8)^0.1)))+(2.9*(9.81*'Base de Dados'!AD8*'Base de Dados'!AT8*(1+COS(0*PI()/180))*('Base de Dados'!AI8-'Base de Dados'!AG8)/'Base de Dados'!AI8^2)^0.25*(1.22+1.22*SIN(0*PI()/180))^(1/(1+'Base de Dados'!I8))))^(-1)</f>
        <v>0.50763192497025622</v>
      </c>
      <c r="O8" s="8"/>
      <c r="P8" s="26">
        <f>+(1+1.021*I8^(-0.092)*('Base de Dados'!AJ8/'Base de Dados'!AH8)^(-0.368)*('Base de Dados'!AG8/'Base de Dados'!AI8)^(1/3)*((1-'Base de Dados'!AQ8)/'Base de Dados'!AQ8)^(2/3))^(-1)</f>
        <v>0.42997415461968813</v>
      </c>
      <c r="Q8" s="26">
        <f>+'Base de Dados'!AN8/(1.08*'Base de Dados'!AP8+0.45)</f>
        <v>0.48737562808723933</v>
      </c>
      <c r="R8" s="8">
        <f>+'Base de Dados'!AP8^2/(9.81*'Base de Dados'!AD8)</f>
        <v>16.458674657080454</v>
      </c>
      <c r="S8" s="26">
        <f>0.81*'Base de Dados'!AR8*(1-EXP(-2.2*SQRT(R8)))</f>
        <v>0.48684864752394108</v>
      </c>
      <c r="T8" s="26">
        <f>+'Base de Dados'!AN8/(1.2*'Base de Dados'!AP8)</f>
        <v>0.50093971362311507</v>
      </c>
      <c r="U8" s="8">
        <f>+('Base de Dados'!AF8/3600)*'Base de Dados'!AD8/((1-'Base de Dados'!AZ8)*'Base de Dados'!AJ8+'Base de Dados'!AZ8*'Base de Dados'!AH8)</f>
        <v>137953.18538345909</v>
      </c>
      <c r="V8" s="8">
        <f t="shared" si="0"/>
        <v>0.2</v>
      </c>
      <c r="W8" s="8">
        <f>+('Base de Dados'!AN8*'Base de Dados'!AG8*'Base de Dados'!AJ8/('Base de Dados'!AO8*'Base de Dados'!AI8*'Base de Dados'!AH8))^V8*('Base de Dados'!AI8*'Base de Dados'!AO8^2/('Base de Dados'!AG8*'Base de Dados'!AN8^2))</f>
        <v>128.4168120142123</v>
      </c>
      <c r="X8" s="8">
        <f t="shared" si="1"/>
        <v>4.8552813173747893</v>
      </c>
      <c r="Y8" s="8">
        <f t="shared" si="2"/>
        <v>0.96465707848734383</v>
      </c>
      <c r="Z8" s="8"/>
      <c r="AB8" s="18" t="s">
        <v>95</v>
      </c>
    </row>
    <row r="9" spans="2:28" x14ac:dyDescent="0.3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B9" s="18" t="s">
        <v>99</v>
      </c>
    </row>
    <row r="10" spans="2:28" x14ac:dyDescent="0.3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B10" s="18" t="s">
        <v>113</v>
      </c>
    </row>
    <row r="11" spans="2:28" x14ac:dyDescent="0.35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B11" s="18" t="s">
        <v>96</v>
      </c>
    </row>
    <row r="12" spans="2:28" x14ac:dyDescent="0.35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B12" s="18" t="s">
        <v>97</v>
      </c>
    </row>
    <row r="13" spans="2:28" x14ac:dyDescent="0.35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B13" s="18" t="s">
        <v>91</v>
      </c>
    </row>
    <row r="14" spans="2:28" x14ac:dyDescent="0.35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2:28" x14ac:dyDescent="0.35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2:28" x14ac:dyDescent="0.35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2:26" x14ac:dyDescent="0.35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2:26" x14ac:dyDescent="0.35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2:26" x14ac:dyDescent="0.35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2:26" x14ac:dyDescent="0.35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2:26" x14ac:dyDescent="0.35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2:26" x14ac:dyDescent="0.35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2:26" x14ac:dyDescent="0.35">
      <c r="B23" t="s">
        <v>56</v>
      </c>
      <c r="C23" t="s">
        <v>56</v>
      </c>
      <c r="D23" t="s">
        <v>57</v>
      </c>
      <c r="E23" t="s">
        <v>57</v>
      </c>
      <c r="G23" t="s">
        <v>58</v>
      </c>
      <c r="H23" t="s">
        <v>58</v>
      </c>
      <c r="L23" t="s">
        <v>87</v>
      </c>
      <c r="N23" t="s">
        <v>87</v>
      </c>
      <c r="Q23" t="s">
        <v>87</v>
      </c>
      <c r="S23" t="s">
        <v>87</v>
      </c>
      <c r="T23" t="s">
        <v>87</v>
      </c>
    </row>
    <row r="24" spans="2:26" x14ac:dyDescent="0.35">
      <c r="W24">
        <v>0</v>
      </c>
      <c r="X24">
        <v>0</v>
      </c>
    </row>
    <row r="25" spans="2:26" x14ac:dyDescent="0.35">
      <c r="K25">
        <v>0.08</v>
      </c>
      <c r="W25">
        <v>1</v>
      </c>
      <c r="X25">
        <v>1</v>
      </c>
    </row>
    <row r="27" spans="2:26" x14ac:dyDescent="0.35">
      <c r="K27">
        <v>0</v>
      </c>
      <c r="L27">
        <v>0</v>
      </c>
      <c r="S27" s="18" t="s">
        <v>93</v>
      </c>
    </row>
    <row r="28" spans="2:26" x14ac:dyDescent="0.35">
      <c r="K28">
        <v>1</v>
      </c>
      <c r="L28">
        <v>1</v>
      </c>
      <c r="S28" s="18" t="s">
        <v>92</v>
      </c>
    </row>
    <row r="29" spans="2:26" x14ac:dyDescent="0.35">
      <c r="S29" s="18" t="s">
        <v>94</v>
      </c>
    </row>
    <row r="30" spans="2:26" x14ac:dyDescent="0.35">
      <c r="K30">
        <f>K27*(1+K$25)</f>
        <v>0</v>
      </c>
      <c r="L30">
        <f>L27*(1+L$25)</f>
        <v>0</v>
      </c>
      <c r="S30" s="18" t="s">
        <v>89</v>
      </c>
    </row>
    <row r="31" spans="2:26" x14ac:dyDescent="0.35">
      <c r="K31">
        <f>K28</f>
        <v>1</v>
      </c>
      <c r="L31">
        <f>L28*(1-K$25)</f>
        <v>0.92</v>
      </c>
      <c r="S31" s="18" t="s">
        <v>90</v>
      </c>
    </row>
    <row r="32" spans="2:26" x14ac:dyDescent="0.35">
      <c r="S32" s="18" t="s">
        <v>95</v>
      </c>
    </row>
    <row r="33" spans="11:19" x14ac:dyDescent="0.35">
      <c r="K33">
        <f>K30*(1+K$25)</f>
        <v>0</v>
      </c>
      <c r="L33">
        <f>L30*(1+L$25)</f>
        <v>0</v>
      </c>
      <c r="S33" s="18" t="s">
        <v>99</v>
      </c>
    </row>
    <row r="34" spans="11:19" x14ac:dyDescent="0.35">
      <c r="K34">
        <f>K28</f>
        <v>1</v>
      </c>
      <c r="L34">
        <f>L28*(1+K$25)</f>
        <v>1.08</v>
      </c>
      <c r="S34" s="18" t="s">
        <v>113</v>
      </c>
    </row>
    <row r="35" spans="11:19" x14ac:dyDescent="0.35">
      <c r="S35" s="18" t="s">
        <v>96</v>
      </c>
    </row>
    <row r="36" spans="11:19" x14ac:dyDescent="0.35">
      <c r="S36" s="18" t="s">
        <v>97</v>
      </c>
    </row>
    <row r="37" spans="11:19" x14ac:dyDescent="0.35">
      <c r="S37" s="18" t="s">
        <v>91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 de Dados</vt:lpstr>
      <vt:lpstr>Propag. Incertezas (alpha)</vt:lpstr>
      <vt:lpstr>Incerteza Densidade-Viscosidade</vt:lpstr>
      <vt:lpstr>Propag. Incertezas (Jl, Jg)</vt:lpstr>
      <vt:lpstr>Propag. Incertezas (dP_dz)</vt:lpstr>
      <vt:lpstr>Gradiente de Pressão</vt:lpstr>
      <vt:lpstr>Fração de Vazio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facuna.alegria</cp:lastModifiedBy>
  <dcterms:created xsi:type="dcterms:W3CDTF">2015-06-05T18:17:20Z</dcterms:created>
  <dcterms:modified xsi:type="dcterms:W3CDTF">2025-03-17T11:25:12Z</dcterms:modified>
</cp:coreProperties>
</file>